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omments2.xml" ContentType="application/vnd.openxmlformats-officedocument.spreadsheetml.comments+xml"/>
  <Override PartName="/xl/drawings/drawing13.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4.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05"/>
  <workbookPr updateLinks="never" defaultThemeVersion="166925"/>
  <mc:AlternateContent xmlns:mc="http://schemas.openxmlformats.org/markup-compatibility/2006">
    <mc:Choice Requires="x15">
      <x15ac:absPath xmlns:x15ac="http://schemas.microsoft.com/office/spreadsheetml/2010/11/ac" url="https://ebpgroup.sharepoint.com/sites/EBPChileTest/Freigegebene Dokumente/220172_Minergie Chile/02_Certificacion/02_Instrumentos y Checklists/Ficha_Minergie/FichaMinergie_EnProceso/"/>
    </mc:Choice>
  </mc:AlternateContent>
  <xr:revisionPtr revIDLastSave="0" documentId="8_{A511E4EB-D5F0-4358-8271-6829452A36D1}" xr6:coauthVersionLast="47" xr6:coauthVersionMax="47" xr10:uidLastSave="{00000000-0000-0000-0000-000000000000}"/>
  <bookViews>
    <workbookView xWindow="-120" yWindow="-120" windowWidth="24240" windowHeight="17640" tabRatio="876" xr2:uid="{6401802D-A186-430A-A5FF-9AF6D998E0DA}"/>
  </bookViews>
  <sheets>
    <sheet name="Intro" sheetId="1" r:id="rId1"/>
    <sheet name="A1" sheetId="2" r:id="rId2"/>
    <sheet name="A2 (CHI2)" sheetId="30" state="hidden" r:id="rId3"/>
    <sheet name="A2 (CHI)" sheetId="29" state="hidden" r:id="rId4"/>
    <sheet name="A2 (CHI) " sheetId="32" r:id="rId5"/>
    <sheet name="A2 (MEX-LATAM)" sheetId="4" r:id="rId6"/>
    <sheet name="A3" sheetId="5" r:id="rId7"/>
    <sheet name="A4" sheetId="7" r:id="rId8"/>
    <sheet name="A4.a" sheetId="25" r:id="rId9"/>
    <sheet name="A5" sheetId="17" r:id="rId10"/>
    <sheet name="Formula limites" sheetId="18" state="hidden" r:id="rId11"/>
    <sheet name="A6" sheetId="8" r:id="rId12"/>
    <sheet name="A7" sheetId="9" r:id="rId13"/>
    <sheet name="A7.a" sheetId="13" r:id="rId14"/>
    <sheet name="A7.b" sheetId="14" r:id="rId15"/>
    <sheet name="A8" sheetId="33" r:id="rId16"/>
    <sheet name="A8.b" sheetId="15" r:id="rId17"/>
    <sheet name="A9" sheetId="19" r:id="rId18"/>
    <sheet name="A9.a" sheetId="21" r:id="rId19"/>
    <sheet name="A9.b" sheetId="22" r:id="rId20"/>
    <sheet name="T2+T2.a" sheetId="12" r:id="rId21"/>
    <sheet name="T3" sheetId="27" r:id="rId22"/>
    <sheet name="T4" sheetId="28" r:id="rId23"/>
    <sheet name="T6" sheetId="23" r:id="rId24"/>
    <sheet name="Paquetes_A4" sheetId="20" state="hidden" r:id="rId25"/>
    <sheet name="Datos_A7" sheetId="3" state="hidden" r:id="rId26"/>
    <sheet name="Datos 2" sheetId="10" state="hidden" r:id="rId27"/>
    <sheet name="DAP" sheetId="16" state="hidden" r:id="rId28"/>
  </sheets>
  <externalReferences>
    <externalReference r:id="rId29"/>
  </externalReferences>
  <definedNames>
    <definedName name="A4_Datos.de.entrada" localSheetId="3">Tabla611[#All]</definedName>
    <definedName name="A4_Datos.de.entrada" localSheetId="2">Tabla611[#All]</definedName>
    <definedName name="A4_Datos.de.entrada" localSheetId="8">Tabla611[#All]</definedName>
    <definedName name="A4_Datos.de.entrada" localSheetId="15">Tabla611[#All]</definedName>
    <definedName name="A4_Datos.de.entrada" localSheetId="18">Tabla611[#All]</definedName>
    <definedName name="A4_Datos.de.entrada" localSheetId="19">Tabla611[#All]</definedName>
    <definedName name="A4_Datos.de.entrada" localSheetId="21">Tabla611[#All]</definedName>
    <definedName name="A4_Datos.de.entrada" localSheetId="22">Tabla611[#All]</definedName>
    <definedName name="A4_Datos.de.entrada" localSheetId="23">Tabla611[#All]</definedName>
    <definedName name="A4_Datos.de.entrada">Tabla611[#All]</definedName>
    <definedName name="A4_Paquetes" localSheetId="3">Tabla2[]</definedName>
    <definedName name="A4_Paquetes" localSheetId="2">Tabla2[]</definedName>
    <definedName name="A4_Paquetes" localSheetId="8">Tabla2[]</definedName>
    <definedName name="A4_Paquetes" localSheetId="15">Tabla2[]</definedName>
    <definedName name="A4_Paquetes" localSheetId="18">Tabla2[]</definedName>
    <definedName name="A4_Paquetes" localSheetId="19">Tabla2[]</definedName>
    <definedName name="A4_Paquetes" localSheetId="21">Tabla2[]</definedName>
    <definedName name="A4_Paquetes" localSheetId="22">Tabla2[]</definedName>
    <definedName name="A4_Paquetes" localSheetId="23">Tabla2[]</definedName>
    <definedName name="A4_Paquetes">Tabla2[]</definedName>
    <definedName name="A5Paquetes" localSheetId="3">Tabla2[]</definedName>
    <definedName name="A5Paquetes" localSheetId="2">Tabla2[]</definedName>
    <definedName name="A5Paquetes" localSheetId="8">Tabla2[]</definedName>
    <definedName name="A5Paquetes" localSheetId="15">Tabla2[]</definedName>
    <definedName name="A5Paquetes" localSheetId="18">Tabla2[]</definedName>
    <definedName name="A5Paquetes" localSheetId="19">Tabla2[]</definedName>
    <definedName name="A5Paquetes" localSheetId="21">Tabla2[]</definedName>
    <definedName name="A5Paquetes" localSheetId="22">Tabla2[]</definedName>
    <definedName name="A5Paquetes" localSheetId="23">Tabla2[]</definedName>
    <definedName name="A5Paquetes">Tabla2[]</definedName>
    <definedName name="_xlnm.Print_Area" localSheetId="4">'A2 (CHI) '!$A$1:$W$264</definedName>
    <definedName name="_xlnm.Print_Area" localSheetId="7">'A4'!$A$1:$E$50</definedName>
    <definedName name="_xlnm.Print_Area" localSheetId="9">'A5'!#REF!</definedName>
    <definedName name="_xlnm.Print_Area" localSheetId="11">'A6'!$A$1:$G$18</definedName>
    <definedName name="_xlnm.Print_Area" localSheetId="12">'A7'!$A$1:$J$95</definedName>
    <definedName name="_xlnm.Print_Area" localSheetId="13">'A7.a'!$A$1:$E$22</definedName>
    <definedName name="_xlnm.Print_Area" localSheetId="20">'T2+T2.a'!$A$1:$H$39</definedName>
    <definedName name="_xlnm.Print_Area" localSheetId="23">'T6'!$A$1:$P$58</definedName>
    <definedName name="Biblioteca.Minergie_A4" localSheetId="3">Biblioteca.Minergie.Paquetes[Biblioteca.Minergie.Paquetes]</definedName>
    <definedName name="Biblioteca.Minergie_A4" localSheetId="2">Biblioteca.Minergie.Paquetes[Biblioteca.Minergie.Paquetes]</definedName>
    <definedName name="Biblioteca.Minergie_A4" localSheetId="8">Biblioteca.Minergie.Paquetes[Biblioteca.Minergie.Paquetes]</definedName>
    <definedName name="Biblioteca.Minergie_A4" localSheetId="15">Biblioteca.Minergie.Paquetes[Biblioteca.Minergie.Paquetes]</definedName>
    <definedName name="Biblioteca.Minergie_A4" localSheetId="18">Biblioteca.Minergie.Paquetes[Biblioteca.Minergie.Paquetes]</definedName>
    <definedName name="Biblioteca.Minergie_A4" localSheetId="19">Biblioteca.Minergie.Paquetes[Biblioteca.Minergie.Paquetes]</definedName>
    <definedName name="Biblioteca.Minergie_A4" localSheetId="21">Biblioteca.Minergie.Paquetes[Biblioteca.Minergie.Paquetes]</definedName>
    <definedName name="Biblioteca.Minergie_A4" localSheetId="22">Biblioteca.Minergie.Paquetes[Biblioteca.Minergie.Paquetes]</definedName>
    <definedName name="Biblioteca.Minergie_A4" localSheetId="23">Biblioteca.Minergie.Paquetes[Biblioteca.Minergie.Paquetes]</definedName>
    <definedName name="Biblioteca.Minergie_A4">Biblioteca.Minergie.Paquetes[Biblioteca.Minergie.Paquetes]</definedName>
    <definedName name="Biblioteca.Personal." localSheetId="3">Biblioteca.Personal.Paquetes[Biblioteca.Personal.Paquetes]</definedName>
    <definedName name="Biblioteca.Personal." localSheetId="2">Biblioteca.Personal.Paquetes[Biblioteca.Personal.Paquetes]</definedName>
    <definedName name="Biblioteca.Personal." localSheetId="8">Biblioteca.Personal.Paquetes[Biblioteca.Personal.Paquetes]</definedName>
    <definedName name="Biblioteca.Personal." localSheetId="15">Biblioteca.Personal.Paquetes[Biblioteca.Personal.Paquetes]</definedName>
    <definedName name="Biblioteca.Personal." localSheetId="18">Biblioteca.Personal.Paquetes[Biblioteca.Personal.Paquetes]</definedName>
    <definedName name="Biblioteca.Personal." localSheetId="19">Biblioteca.Personal.Paquetes[Biblioteca.Personal.Paquetes]</definedName>
    <definedName name="Biblioteca.Personal." localSheetId="21">Biblioteca.Personal.Paquetes[Biblioteca.Personal.Paquetes]</definedName>
    <definedName name="Biblioteca.Personal." localSheetId="22">Biblioteca.Personal.Paquetes[Biblioteca.Personal.Paquetes]</definedName>
    <definedName name="Biblioteca.Personal." localSheetId="23">Biblioteca.Personal.Paquetes[Biblioteca.Personal.Paquetes]</definedName>
    <definedName name="Biblioteca.Personal.">Biblioteca.Personal.Paquetes[Biblioteca.Personal.Paquetes]</definedName>
    <definedName name="Biblioteca.Personal.A4" localSheetId="3">Biblioteca.Personal.Paquetes[Biblioteca.Personal.Paquetes]</definedName>
    <definedName name="Biblioteca.Personal.A4" localSheetId="2">Biblioteca.Personal.Paquetes[Biblioteca.Personal.Paquetes]</definedName>
    <definedName name="Biblioteca.Personal.A4" localSheetId="8">Biblioteca.Personal.Paquetes[Biblioteca.Personal.Paquetes]</definedName>
    <definedName name="Biblioteca.Personal.A4" localSheetId="15">Biblioteca.Personal.Paquetes[Biblioteca.Personal.Paquetes]</definedName>
    <definedName name="Biblioteca.Personal.A4" localSheetId="18">Biblioteca.Personal.Paquetes[Biblioteca.Personal.Paquetes]</definedName>
    <definedName name="Biblioteca.Personal.A4" localSheetId="19">Biblioteca.Personal.Paquetes[Biblioteca.Personal.Paquetes]</definedName>
    <definedName name="Biblioteca.Personal.A4" localSheetId="21">Biblioteca.Personal.Paquetes[Biblioteca.Personal.Paquetes]</definedName>
    <definedName name="Biblioteca.Personal.A4" localSheetId="22">Biblioteca.Personal.Paquetes[Biblioteca.Personal.Paquetes]</definedName>
    <definedName name="Biblioteca.Personal.A4" localSheetId="23">Biblioteca.Personal.Paquetes[Biblioteca.Personal.Paquetes]</definedName>
    <definedName name="Biblioteca.Personal.A4">Biblioteca.Personal.Paquetes[Biblioteca.Personal.Paquetes]</definedName>
    <definedName name="Contra_clima_exterior" localSheetId="4">'A2 (CHI) '!$O$7:$V$7</definedName>
    <definedName name="Contra_clima_exterior" localSheetId="2">'A2 (CHI2)'!$I$5:$P$5</definedName>
    <definedName name="Contra_clima_exterior">'A2 (MEX-LATAM)'!$AC$7:$AK$7</definedName>
    <definedName name="Contra_espacios_no_acondicionados_y_terreno" localSheetId="4">'A2 (CHI) '!$W$7:$AC$7</definedName>
    <definedName name="Contra_espacios_no_acondicionados_y_terreno" localSheetId="2">'A2 (CHI2)'!$Q$5:$W$5</definedName>
    <definedName name="Contra_espacios_no_acondicionados_y_terreno">'A2 (MEX-LATAM)'!$AL$7:$AP$7</definedName>
    <definedName name="Mixto" localSheetId="3">Otros.sistemas[Mixto]</definedName>
    <definedName name="Mixto" localSheetId="2">Otros.sistemas[Mixto]</definedName>
    <definedName name="Mixto" localSheetId="8">Otros.sistemas[Mixto]</definedName>
    <definedName name="Mixto" localSheetId="15">Otros.sistemas[Mixto]</definedName>
    <definedName name="Mixto" localSheetId="21">Otros.sistemas[Mixto]</definedName>
    <definedName name="Mixto" localSheetId="22">Otros.sistemas[Mixto]</definedName>
    <definedName name="Mixto">Otros.sistemas[Mixto]</definedName>
    <definedName name="Muro_Ligero_ext" localSheetId="4">'A2 (CHI) '!$Q$8:$Q$16</definedName>
    <definedName name="Muro_Ligero_ext" localSheetId="2">'A2 (CHI2)'!$K$6:$K$13</definedName>
    <definedName name="Muro_Ligero_ext">'A2 (MEX-LATAM)'!$AE$8:$AE$17</definedName>
    <definedName name="Muro_Ligero_int" localSheetId="4">'A2 (CHI) '!$W$8:$W$16</definedName>
    <definedName name="Muro_Ligero_int" localSheetId="2">'A2 (CHI2)'!$Q$6:$Q$13</definedName>
    <definedName name="Muro_Ligero_int">'A2 (MEX-LATAM)'!$AL$8:$AL$17</definedName>
    <definedName name="Muro_Sólido_ext" localSheetId="4">'A2 (CHI) '!$R$8:$R$16</definedName>
    <definedName name="Muro_Sólido_ext" localSheetId="2">'A2 (CHI2)'!$L$6:$L$13</definedName>
    <definedName name="Muro_Sólido_ext">'A2 (MEX-LATAM)'!$AF$8:$AF$17</definedName>
    <definedName name="Muro_Sólido_int" localSheetId="4">'A2 (CHI) '!$X$8:$X$16</definedName>
    <definedName name="Muro_Sólido_int" localSheetId="2">'A2 (CHI2)'!$R$6:$R$13</definedName>
    <definedName name="Muro_Sólido_int">'A2 (MEX-LATAM)'!$AM$8:$AM$17</definedName>
    <definedName name="Otros.sistemas." localSheetId="3">Otros.sistemas[[#All],[Otros.sistemas]]</definedName>
    <definedName name="Otros.sistemas." localSheetId="2">Otros.sistemas[[#All],[Otros.sistemas]]</definedName>
    <definedName name="Otros.sistemas." localSheetId="8">Otros.sistemas[[#All],[Otros.sistemas]]</definedName>
    <definedName name="Otros.sistemas." localSheetId="15">Otros.sistemas[[#All],[Otros.sistemas]]</definedName>
    <definedName name="Otros.sistemas." localSheetId="21">Otros.sistemas[[#All],[Otros.sistemas]]</definedName>
    <definedName name="Otros.sistemas." localSheetId="22">Otros.sistemas[[#All],[Otros.sistemas]]</definedName>
    <definedName name="Otros.sistemas.">Otros.sistemas[[#All],[Otros.sistemas]]</definedName>
    <definedName name="Piso_Ligero_ext" localSheetId="4">'A2 (CHI) '!$S$8:$S$16</definedName>
    <definedName name="Piso_Ligero_ext" localSheetId="2">'A2 (CHI2)'!$M$6:$M$13</definedName>
    <definedName name="Piso_Ligero_ext">'A2 (MEX-LATAM)'!$AG$8:$AG$17</definedName>
    <definedName name="Piso_Ligero_int" localSheetId="4">'A2 (CHI) '!$AA$8:$AA$16</definedName>
    <definedName name="Piso_Ligero_int" localSheetId="2">'A2 (CHI2)'!$U$6:$U$13</definedName>
    <definedName name="Piso_Ligero_int">'A2 (MEX-LATAM)'!$AN$8:$AN$17</definedName>
    <definedName name="Piso_Sólido_ext" localSheetId="4">'A2 (CHI) '!$T$8:$T$16</definedName>
    <definedName name="Piso_Sólido_ext" localSheetId="2">'A2 (CHI2)'!$N$6:$N$13</definedName>
    <definedName name="Piso_Sólido_ext">'A2 (MEX-LATAM)'!$AH$8:$AH$17</definedName>
    <definedName name="Piso_Sólido_int" localSheetId="4">'A2 (CHI) '!$AB$8:$AB$16</definedName>
    <definedName name="Piso_Sólido_int" localSheetId="2">'A2 (CHI2)'!$V$6:$V$13</definedName>
    <definedName name="Piso_Sólido_int">'A2 (MEX-LATAM)'!$AO$8:$AO$17</definedName>
    <definedName name="Puerta_ext" localSheetId="4">'A2 (CHI) '!$V$8:$V$16</definedName>
    <definedName name="Puerta_ext" localSheetId="2">'A2 (CHI2)'!$P$6:$P$13</definedName>
    <definedName name="Puerta_ext">'A2 (MEX-LATAM)'!$AK$8:$AK$17</definedName>
    <definedName name="Puerta_int" localSheetId="4">'A2 (CHI) '!$AC$8:$AC$16</definedName>
    <definedName name="Puerta_int" localSheetId="2">'A2 (CHI2)'!$W$6:$W$13</definedName>
    <definedName name="Puerta_int">'A2 (MEX-LATAM)'!$AP$8:$AP$17</definedName>
    <definedName name="Techumbe_Sólida_ext" localSheetId="4">'A2 (CHI) '!$P$8:$P$16</definedName>
    <definedName name="Techumbe_Sólida_ext" localSheetId="2">'A2 (CHI2)'!$J$6:$J$13</definedName>
    <definedName name="Techumbe_Sólida_ext">'A2 (MEX-LATAM)'!$AD$8:$AD$17</definedName>
    <definedName name="Techumbre_Ligera_ext" localSheetId="4">'A2 (CHI) '!$O$8:$O$16</definedName>
    <definedName name="Techumbre_Ligera_ext" localSheetId="2">'A2 (CHI2)'!$I$6:$I$13</definedName>
    <definedName name="Techumbre_Ligera_ext">'A2 (MEX-LATAM)'!$AC$8:$AC$17</definedName>
    <definedName name="Techumbre_Ligera_int" localSheetId="4">'A2 (CHI) '!$Y$8:$Y$16</definedName>
    <definedName name="Techumbre_Sólida_ext" localSheetId="4">'A2 (CHI) '!$P$8:$P$16</definedName>
    <definedName name="Techumbre_Sólida_int" localSheetId="4">'A2 (CHI) '!$Z$8:$Z$16</definedName>
    <definedName name="Tipo.Energético.Minergie" localSheetId="3">Bilioteca.Minergie[Tipo.Energético.Minergie]</definedName>
    <definedName name="Tipo.Energético.Minergie" localSheetId="2">Bilioteca.Minergie[Tipo.Energético.Minergie]</definedName>
    <definedName name="Tipo.Energético.Minergie" localSheetId="8">Bilioteca.Minergie[Tipo.Energético.Minergie]</definedName>
    <definedName name="Tipo.Energético.Minergie" localSheetId="15">Bilioteca.Minergie[Tipo.Energético.Minergie]</definedName>
    <definedName name="Tipo.Energético.Minergie" localSheetId="17">Bilioteca.Minergie[Tipo.Energético.Minergie]</definedName>
    <definedName name="Tipo.Energético.Minergie" localSheetId="18">Bilioteca.Minergie[Tipo.Energético.Minergie]</definedName>
    <definedName name="Tipo.Energético.Minergie" localSheetId="19">Bilioteca.Minergie[Tipo.Energético.Minergie]</definedName>
    <definedName name="Tipo.Energético.Minergie" localSheetId="21">Bilioteca.Minergie[Tipo.Energético.Minergie]</definedName>
    <definedName name="Tipo.Energético.Minergie" localSheetId="22">Bilioteca.Minergie[Tipo.Energético.Minergie]</definedName>
    <definedName name="Tipo.Energético.Minergie" localSheetId="23">Bilioteca.Minergie[Tipo.Energético.Minergie]</definedName>
    <definedName name="Tipo.Energético.Minergie">Bilioteca.Minergie[Tipo.Energético.Minergie]</definedName>
    <definedName name="_xlnm.Print_Titles" localSheetId="12">'A7'!$34:$34</definedName>
    <definedName name="Ventana_ext" localSheetId="4">'A2 (CHI) '!$U$8:$U$16</definedName>
    <definedName name="Ventana_ext" localSheetId="2">'A2 (CHI2)'!$O$6:$O$13</definedName>
    <definedName name="Ventana_ext">'A2 (MEX-LATAM)'!$AI$8:$AI$17</definedName>
    <definedName name="Ventana_fachada_más_de_40_por_ciento_acristalamiento">'A2 (MEX-LATAM)'!$AJ$8:$AJ$17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 i="7" l="1"/>
  <c r="H26" i="7"/>
  <c r="H27" i="7"/>
  <c r="H28" i="7"/>
  <c r="H29" i="7"/>
  <c r="H30" i="7"/>
  <c r="H31" i="7"/>
  <c r="H32" i="7"/>
  <c r="H33" i="7"/>
  <c r="H24" i="7"/>
  <c r="G23" i="21"/>
  <c r="G22" i="21"/>
  <c r="G21" i="21"/>
  <c r="G20" i="21"/>
  <c r="G19" i="21"/>
  <c r="C17" i="33"/>
  <c r="C8" i="33"/>
  <c r="C11" i="33" s="1"/>
  <c r="AV7" i="4"/>
  <c r="AU7" i="4"/>
  <c r="AB12" i="4"/>
  <c r="AB13" i="4"/>
  <c r="AB11" i="4"/>
  <c r="AV8" i="4"/>
  <c r="AU8" i="4"/>
  <c r="K8" i="4"/>
  <c r="M7" i="4"/>
  <c r="N7" i="4"/>
  <c r="O7" i="4"/>
  <c r="P7" i="4"/>
  <c r="Q7" i="4"/>
  <c r="R7" i="4"/>
  <c r="S7" i="4"/>
  <c r="T7" i="4"/>
  <c r="U7" i="4"/>
  <c r="V7" i="4"/>
  <c r="W7" i="4"/>
  <c r="X7" i="4"/>
  <c r="Y7" i="4"/>
  <c r="L7" i="4"/>
  <c r="U6" i="4"/>
  <c r="L6" i="4"/>
  <c r="K7" i="4"/>
  <c r="C23" i="33" l="1"/>
  <c r="F19" i="4"/>
  <c r="I230" i="4"/>
  <c r="F235" i="4"/>
  <c r="F166" i="4"/>
  <c r="F160" i="4"/>
  <c r="F22" i="4"/>
  <c r="F21" i="4"/>
  <c r="F78" i="4"/>
  <c r="F20" i="4"/>
  <c r="F84" i="4"/>
  <c r="F13" i="4"/>
  <c r="F69" i="4"/>
  <c r="F93" i="4"/>
  <c r="F12" i="4"/>
  <c r="F259" i="4"/>
  <c r="F11" i="4"/>
  <c r="F250" i="4"/>
  <c r="I106" i="4"/>
  <c r="F244" i="4"/>
  <c r="I126" i="4"/>
  <c r="I146" i="4"/>
  <c r="F175" i="4"/>
  <c r="I188" i="4"/>
  <c r="F151" i="4"/>
  <c r="F119" i="4"/>
  <c r="F208" i="4"/>
  <c r="F25" i="4"/>
  <c r="F16" i="4"/>
  <c r="F26" i="4"/>
  <c r="F10" i="4"/>
  <c r="F43" i="4"/>
  <c r="F130" i="4"/>
  <c r="F202" i="4"/>
  <c r="F24" i="4"/>
  <c r="F15" i="4"/>
  <c r="F52" i="4"/>
  <c r="F139" i="4"/>
  <c r="F193" i="4"/>
  <c r="F23" i="4"/>
  <c r="F14" i="4"/>
  <c r="I64" i="4"/>
  <c r="F110" i="4"/>
  <c r="F217" i="4"/>
  <c r="F9" i="4"/>
  <c r="F18" i="4"/>
  <c r="F17" i="4"/>
  <c r="AR15" i="4"/>
  <c r="L8" i="4" s="1"/>
  <c r="C263" i="32"/>
  <c r="F256" i="32" a="1"/>
  <c r="F256" i="32" s="1"/>
  <c r="F255" i="32"/>
  <c r="F254" i="32"/>
  <c r="F253" i="32"/>
  <c r="F252" i="32"/>
  <c r="F251" i="32"/>
  <c r="F250" i="32"/>
  <c r="F249" i="32"/>
  <c r="F248" i="32"/>
  <c r="F247" i="32" a="1"/>
  <c r="F247" i="32" s="1"/>
  <c r="F241" i="32" a="1"/>
  <c r="F241" i="32" s="1"/>
  <c r="F240" i="32"/>
  <c r="F239" i="32"/>
  <c r="F238" i="32"/>
  <c r="F237" i="32"/>
  <c r="F236" i="32"/>
  <c r="F235" i="32"/>
  <c r="F234" i="32"/>
  <c r="F233" i="32"/>
  <c r="F232" i="32" a="1"/>
  <c r="F232" i="32" s="1"/>
  <c r="F242" i="32" s="1"/>
  <c r="F243" i="32" s="1"/>
  <c r="E262" i="32" s="1"/>
  <c r="C221" i="32"/>
  <c r="F214" i="32" a="1"/>
  <c r="F214" i="32" s="1"/>
  <c r="F213" i="32"/>
  <c r="F212" i="32"/>
  <c r="F211" i="32"/>
  <c r="F210" i="32"/>
  <c r="F209" i="32"/>
  <c r="F208" i="32"/>
  <c r="F207" i="32"/>
  <c r="F206" i="32"/>
  <c r="F205" i="32" a="1"/>
  <c r="F205" i="32" s="1"/>
  <c r="F215" i="32" s="1"/>
  <c r="F216" i="32" s="1"/>
  <c r="F199" i="32" a="1"/>
  <c r="F199" i="32" s="1"/>
  <c r="F198" i="32"/>
  <c r="F197" i="32"/>
  <c r="F196" i="32"/>
  <c r="F195" i="32"/>
  <c r="F194" i="32"/>
  <c r="F193" i="32"/>
  <c r="F192" i="32"/>
  <c r="F191" i="32"/>
  <c r="F190" i="32" a="1"/>
  <c r="F190" i="32" s="1"/>
  <c r="F200" i="32" s="1"/>
  <c r="F201" i="32" s="1"/>
  <c r="E220" i="32" s="1"/>
  <c r="E222" i="32" s="1"/>
  <c r="C179" i="32"/>
  <c r="F172" i="32" a="1"/>
  <c r="F172" i="32" s="1"/>
  <c r="F171" i="32"/>
  <c r="F170" i="32"/>
  <c r="F169" i="32"/>
  <c r="F168" i="32"/>
  <c r="F167" i="32"/>
  <c r="F166" i="32"/>
  <c r="F165" i="32"/>
  <c r="F164" i="32"/>
  <c r="F163" i="32" a="1"/>
  <c r="F163" i="32" s="1"/>
  <c r="F173" i="32" s="1"/>
  <c r="F174" i="32" s="1"/>
  <c r="F157" i="32" a="1"/>
  <c r="F157" i="32" s="1"/>
  <c r="F156" i="32"/>
  <c r="F155" i="32"/>
  <c r="F154" i="32"/>
  <c r="F153" i="32"/>
  <c r="F152" i="32"/>
  <c r="F151" i="32"/>
  <c r="F150" i="32"/>
  <c r="F149" i="32"/>
  <c r="F148" i="32" a="1"/>
  <c r="F148" i="32" s="1"/>
  <c r="F158" i="32" s="1"/>
  <c r="F159" i="32" s="1"/>
  <c r="E178" i="32" s="1"/>
  <c r="E180" i="32" s="1"/>
  <c r="F136" i="32" a="1"/>
  <c r="F136" i="32" s="1"/>
  <c r="F135" i="32"/>
  <c r="F134" i="32"/>
  <c r="F133" i="32"/>
  <c r="F132" i="32"/>
  <c r="F131" i="32"/>
  <c r="F130" i="32"/>
  <c r="F129" i="32"/>
  <c r="F128" i="32"/>
  <c r="F127" i="32" a="1"/>
  <c r="F127" i="32" s="1"/>
  <c r="F116" i="32" a="1"/>
  <c r="F116" i="32" s="1"/>
  <c r="F115" i="32"/>
  <c r="F114" i="32"/>
  <c r="F113" i="32"/>
  <c r="F112" i="32"/>
  <c r="F111" i="32"/>
  <c r="F110" i="32"/>
  <c r="F109" i="32"/>
  <c r="F108" i="32"/>
  <c r="F107" i="32" a="1"/>
  <c r="F107" i="32" s="1"/>
  <c r="C97" i="32"/>
  <c r="F90" i="32" a="1"/>
  <c r="F90" i="32" s="1"/>
  <c r="F89" i="32"/>
  <c r="F88" i="32"/>
  <c r="F87" i="32"/>
  <c r="F86" i="32"/>
  <c r="F85" i="32"/>
  <c r="F84" i="32"/>
  <c r="F83" i="32"/>
  <c r="F82" i="32"/>
  <c r="F81" i="32" a="1"/>
  <c r="F81" i="32" s="1"/>
  <c r="F75" i="32" a="1"/>
  <c r="F75" i="32" s="1"/>
  <c r="F74" i="32"/>
  <c r="F73" i="32"/>
  <c r="F72" i="32"/>
  <c r="F71" i="32"/>
  <c r="F70" i="32"/>
  <c r="F69" i="32"/>
  <c r="F68" i="32"/>
  <c r="F67" i="32"/>
  <c r="F66" i="32" a="1"/>
  <c r="F66" i="32" s="1"/>
  <c r="F49" i="32" a="1"/>
  <c r="F49" i="32" s="1"/>
  <c r="F48" i="32"/>
  <c r="F47" i="32"/>
  <c r="F46" i="32"/>
  <c r="F45" i="32"/>
  <c r="F44" i="32"/>
  <c r="F43" i="32"/>
  <c r="F42" i="32"/>
  <c r="F41" i="32"/>
  <c r="F40" i="32" a="1"/>
  <c r="F40" i="32" s="1"/>
  <c r="F20" i="32" a="1"/>
  <c r="F19" i="32" a="1"/>
  <c r="F23" i="32" a="1"/>
  <c r="F18" i="32" a="1"/>
  <c r="F7" i="32" a="1"/>
  <c r="I123" i="32" a="1"/>
  <c r="F15" i="32" a="1"/>
  <c r="F8" i="32" a="1"/>
  <c r="F13" i="32" a="1"/>
  <c r="F10" i="32" a="1"/>
  <c r="F14" i="32" a="1"/>
  <c r="F22" i="32" a="1"/>
  <c r="F16" i="32" a="1"/>
  <c r="I185" i="32" a="1"/>
  <c r="F12" i="32" a="1"/>
  <c r="F17" i="32" a="1"/>
  <c r="I143" i="32" a="1"/>
  <c r="F9" i="32" a="1"/>
  <c r="I61" i="32" a="1"/>
  <c r="I36" i="32" a="1"/>
  <c r="I227" i="32" a="1"/>
  <c r="F21" i="32" a="1"/>
  <c r="I103" i="32" a="1"/>
  <c r="F11" i="32" a="1"/>
  <c r="S8" i="4" l="1"/>
  <c r="W8" i="4"/>
  <c r="M8" i="4"/>
  <c r="I39" i="4" s="1"/>
  <c r="T8" i="4"/>
  <c r="U8" i="4"/>
  <c r="R8" i="4"/>
  <c r="Q8" i="4"/>
  <c r="X8" i="4"/>
  <c r="P8" i="4"/>
  <c r="O8" i="4"/>
  <c r="Y8" i="4"/>
  <c r="V8" i="4"/>
  <c r="N8" i="4"/>
  <c r="F257" i="32"/>
  <c r="F258" i="32" s="1"/>
  <c r="E263" i="32" s="1"/>
  <c r="E264" i="32" s="1"/>
  <c r="F137" i="32"/>
  <c r="F138" i="32" s="1"/>
  <c r="F117" i="32"/>
  <c r="F118" i="32" s="1"/>
  <c r="F91" i="32"/>
  <c r="F92" i="32" s="1"/>
  <c r="E97" i="32" s="1"/>
  <c r="F76" i="32"/>
  <c r="F77" i="32" s="1"/>
  <c r="E96" i="32" s="1"/>
  <c r="E221" i="32"/>
  <c r="E179" i="32"/>
  <c r="F50" i="32"/>
  <c r="F51" i="32" s="1"/>
  <c r="I61" i="32"/>
  <c r="F7" i="32"/>
  <c r="F23" i="32"/>
  <c r="F11" i="32"/>
  <c r="F19" i="32"/>
  <c r="I143" i="32"/>
  <c r="I144" i="32" s="1" a="1"/>
  <c r="I144" i="32" s="1"/>
  <c r="I227" i="32"/>
  <c r="F15" i="32"/>
  <c r="F14" i="32"/>
  <c r="I36" i="32"/>
  <c r="F10" i="32"/>
  <c r="F18" i="32"/>
  <c r="F22" i="32"/>
  <c r="F9" i="32"/>
  <c r="F13" i="32"/>
  <c r="F17" i="32"/>
  <c r="F21" i="32"/>
  <c r="I103" i="32"/>
  <c r="I185" i="32"/>
  <c r="I186" i="32" s="1" a="1"/>
  <c r="I186" i="32" s="1"/>
  <c r="F8" i="32"/>
  <c r="F12" i="32"/>
  <c r="F16" i="32"/>
  <c r="F20" i="32"/>
  <c r="I123" i="32"/>
  <c r="E98" i="32" l="1"/>
  <c r="I62" i="32" s="1" a="1"/>
  <c r="I62" i="32" s="1"/>
  <c r="I104" i="32" a="1"/>
  <c r="I104" i="32" s="1"/>
  <c r="I228" i="32" a="1"/>
  <c r="I228" i="32" s="1"/>
  <c r="I124" i="32" a="1"/>
  <c r="I124" i="32" s="1"/>
  <c r="H11" i="4" a="1"/>
  <c r="H11" i="4" s="1"/>
  <c r="I11" i="4" a="1"/>
  <c r="I11" i="4" s="1"/>
  <c r="I22" i="4" a="1"/>
  <c r="I22" i="4" s="1"/>
  <c r="H22" i="4" a="1"/>
  <c r="H22" i="4" s="1"/>
  <c r="I15" i="4" a="1"/>
  <c r="I15" i="4" s="1"/>
  <c r="H15" i="4" a="1"/>
  <c r="H15" i="4" s="1"/>
  <c r="I18" i="4" a="1"/>
  <c r="I18" i="4" s="1"/>
  <c r="H18" i="4" a="1"/>
  <c r="H18" i="4" s="1"/>
  <c r="H25" i="4" a="1"/>
  <c r="H25" i="4" s="1"/>
  <c r="I25" i="4" a="1"/>
  <c r="I25" i="4" s="1"/>
  <c r="I14" i="4" a="1"/>
  <c r="I14" i="4" s="1"/>
  <c r="H14" i="4" a="1"/>
  <c r="H14" i="4" s="1"/>
  <c r="H21" i="4" a="1"/>
  <c r="H21" i="4" s="1"/>
  <c r="I21" i="4" a="1"/>
  <c r="I21" i="4" s="1"/>
  <c r="I9" i="4" a="1"/>
  <c r="I9" i="4" s="1"/>
  <c r="H9" i="4" a="1"/>
  <c r="H9" i="4" s="1"/>
  <c r="H17" i="4" a="1"/>
  <c r="H17" i="4" s="1"/>
  <c r="I17" i="4" a="1"/>
  <c r="I17" i="4" s="1"/>
  <c r="I19" i="4" a="1"/>
  <c r="I19" i="4" s="1"/>
  <c r="H19" i="4" a="1"/>
  <c r="H19" i="4" s="1"/>
  <c r="I24" i="4" a="1"/>
  <c r="I24" i="4" s="1"/>
  <c r="H24" i="4" a="1"/>
  <c r="H24" i="4" s="1"/>
  <c r="H13" i="4" a="1"/>
  <c r="H13" i="4" s="1"/>
  <c r="I13" i="4" a="1"/>
  <c r="I13" i="4" s="1"/>
  <c r="I10" i="4" a="1"/>
  <c r="I10" i="4" s="1"/>
  <c r="H10" i="4" a="1"/>
  <c r="H10" i="4" s="1"/>
  <c r="H20" i="4" a="1"/>
  <c r="H20" i="4" s="1"/>
  <c r="I20" i="4" a="1"/>
  <c r="I20" i="4" s="1"/>
  <c r="I23" i="4" a="1"/>
  <c r="I23" i="4" s="1"/>
  <c r="H23" i="4" a="1"/>
  <c r="H23" i="4" s="1"/>
  <c r="H16" i="4" a="1"/>
  <c r="H16" i="4" s="1"/>
  <c r="I16" i="4" a="1"/>
  <c r="I16" i="4" s="1"/>
  <c r="I26" i="4" a="1"/>
  <c r="I26" i="4" s="1"/>
  <c r="H26" i="4" a="1"/>
  <c r="H26" i="4" s="1"/>
  <c r="I37" i="32" a="1"/>
  <c r="I37" i="32" s="1"/>
  <c r="I8" i="32" a="1"/>
  <c r="I8" i="32" s="1"/>
  <c r="H8" i="32" a="1"/>
  <c r="H8" i="32" s="1"/>
  <c r="I18" i="32" a="1"/>
  <c r="I18" i="32" s="1"/>
  <c r="H18" i="32" a="1"/>
  <c r="H18" i="32" s="1"/>
  <c r="H11" i="32" a="1"/>
  <c r="H11" i="32" s="1"/>
  <c r="I11" i="32" a="1"/>
  <c r="I11" i="32" s="1"/>
  <c r="H17" i="32" a="1"/>
  <c r="H17" i="32" s="1"/>
  <c r="I17" i="32" a="1"/>
  <c r="I17" i="32" s="1"/>
  <c r="I15" i="32" a="1"/>
  <c r="I15" i="32" s="1"/>
  <c r="H15" i="32" a="1"/>
  <c r="H15" i="32" s="1"/>
  <c r="I20" i="32" a="1"/>
  <c r="I20" i="32" s="1"/>
  <c r="H20" i="32" a="1"/>
  <c r="H20" i="32" s="1"/>
  <c r="H13" i="32" a="1"/>
  <c r="H13" i="32" s="1"/>
  <c r="I13" i="32" a="1"/>
  <c r="I13" i="32" s="1"/>
  <c r="I16" i="32" a="1"/>
  <c r="I16" i="32" s="1"/>
  <c r="H16" i="32" a="1"/>
  <c r="H16" i="32" s="1"/>
  <c r="H9" i="32" a="1"/>
  <c r="H9" i="32" s="1"/>
  <c r="I9" i="32" a="1"/>
  <c r="I9" i="32" s="1"/>
  <c r="I12" i="32" a="1"/>
  <c r="I12" i="32" s="1"/>
  <c r="H12" i="32" a="1"/>
  <c r="H12" i="32" s="1"/>
  <c r="I22" i="32" a="1"/>
  <c r="I22" i="32" s="1"/>
  <c r="H22" i="32" a="1"/>
  <c r="H22" i="32" s="1"/>
  <c r="I19" i="32" a="1"/>
  <c r="I19" i="32" s="1"/>
  <c r="H19" i="32" a="1"/>
  <c r="H19" i="32" s="1"/>
  <c r="I10" i="32" a="1"/>
  <c r="I10" i="32" s="1"/>
  <c r="H10" i="32" a="1"/>
  <c r="H10" i="32" s="1"/>
  <c r="I23" i="32" a="1"/>
  <c r="I23" i="32" s="1"/>
  <c r="H23" i="32" a="1"/>
  <c r="H23" i="32" s="1"/>
  <c r="H21" i="32" a="1"/>
  <c r="H21" i="32" s="1"/>
  <c r="I21" i="32" a="1"/>
  <c r="I21" i="32" s="1"/>
  <c r="I14" i="32" a="1"/>
  <c r="I14" i="32" s="1"/>
  <c r="H14" i="32" a="1"/>
  <c r="H14" i="32" s="1"/>
  <c r="H7" i="32" a="1"/>
  <c r="H7" i="32" s="1"/>
  <c r="I7" i="32" a="1"/>
  <c r="I7" i="32" s="1"/>
  <c r="G33" i="25" l="1"/>
  <c r="G34" i="25"/>
  <c r="G35" i="25"/>
  <c r="G36" i="25"/>
  <c r="G45" i="25"/>
  <c r="G46" i="25"/>
  <c r="G47" i="25"/>
  <c r="G48" i="25"/>
  <c r="G49" i="25"/>
  <c r="G50" i="25"/>
  <c r="G32" i="25"/>
  <c r="G8" i="25"/>
  <c r="H24" i="8"/>
  <c r="H25" i="8"/>
  <c r="H26" i="8"/>
  <c r="H27" i="8"/>
  <c r="H28" i="8"/>
  <c r="H29" i="8"/>
  <c r="H30" i="8"/>
  <c r="H31" i="8"/>
  <c r="H32" i="8"/>
  <c r="H33" i="8"/>
  <c r="H34" i="8"/>
  <c r="H35" i="8"/>
  <c r="H8" i="8"/>
  <c r="H7" i="8"/>
  <c r="H9" i="8"/>
  <c r="H10" i="8"/>
  <c r="H11" i="8"/>
  <c r="H12" i="8"/>
  <c r="H13" i="8"/>
  <c r="H14" i="8"/>
  <c r="H15" i="8"/>
  <c r="H16" i="8"/>
  <c r="H17" i="8"/>
  <c r="H18" i="8"/>
  <c r="H6" i="8"/>
  <c r="I19" i="17" a="1"/>
  <c r="I19" i="17" s="1"/>
  <c r="D20" i="9"/>
  <c r="F20" i="9" s="1"/>
  <c r="F17" i="9" s="1"/>
  <c r="G15" i="19" a="1"/>
  <c r="G15" i="19" s="1"/>
  <c r="G16" i="19" a="1"/>
  <c r="G16" i="19" s="1"/>
  <c r="G17" i="19" a="1"/>
  <c r="G17" i="19" s="1"/>
  <c r="G18" i="19" a="1"/>
  <c r="G18" i="19" s="1"/>
  <c r="G19" i="19" a="1"/>
  <c r="G19" i="19" s="1"/>
  <c r="G14" i="19" a="1"/>
  <c r="G14" i="19" s="1"/>
  <c r="I6" i="19"/>
  <c r="I7" i="19"/>
  <c r="I9" i="19"/>
  <c r="I10" i="19"/>
  <c r="H5" i="19" a="1"/>
  <c r="H5" i="19" s="1"/>
  <c r="I5" i="19" s="1"/>
  <c r="E34" i="27"/>
  <c r="F34" i="27"/>
  <c r="E20" i="27"/>
  <c r="F20" i="27" s="1"/>
  <c r="H6" i="27" l="1"/>
  <c r="H7" i="27"/>
  <c r="H8" i="27"/>
  <c r="H9" i="27"/>
  <c r="H10" i="27"/>
  <c r="H11" i="27"/>
  <c r="H12" i="27"/>
  <c r="H13" i="27"/>
  <c r="H14" i="27"/>
  <c r="H15" i="27"/>
  <c r="H16" i="27"/>
  <c r="H5" i="27"/>
  <c r="G12" i="23"/>
  <c r="G13" i="23"/>
  <c r="G14" i="23"/>
  <c r="G15" i="23"/>
  <c r="G16" i="23"/>
  <c r="G17" i="23"/>
  <c r="G18" i="23"/>
  <c r="G11" i="23"/>
  <c r="G22" i="23"/>
  <c r="G23" i="23"/>
  <c r="G24" i="23"/>
  <c r="G25" i="23"/>
  <c r="G26" i="23"/>
  <c r="G27" i="23"/>
  <c r="G28" i="23"/>
  <c r="G21" i="23"/>
  <c r="H5" i="23"/>
  <c r="H6" i="23"/>
  <c r="H7" i="23"/>
  <c r="H8" i="23"/>
  <c r="H4" i="23"/>
  <c r="J11" i="20"/>
  <c r="J4" i="20"/>
  <c r="H119" i="7"/>
  <c r="H229" i="7" s="1"/>
  <c r="H309" i="7"/>
  <c r="H308" i="7"/>
  <c r="H311" i="7"/>
  <c r="H301" i="7" a="1"/>
  <c r="H301" i="7" s="1"/>
  <c r="H282" i="7"/>
  <c r="H281" i="7"/>
  <c r="H284" i="7"/>
  <c r="H274" i="7" a="1"/>
  <c r="H274" i="7" s="1"/>
  <c r="H275" i="7" a="1"/>
  <c r="H275" i="7" s="1"/>
  <c r="H255" i="7"/>
  <c r="H254" i="7"/>
  <c r="H257" i="7"/>
  <c r="H247" i="7" a="1"/>
  <c r="H247" i="7" s="1"/>
  <c r="H228" i="7"/>
  <c r="H227" i="7"/>
  <c r="H230" i="7"/>
  <c r="H220" i="7" a="1"/>
  <c r="H220" i="7" s="1"/>
  <c r="H201" i="7"/>
  <c r="H200" i="7"/>
  <c r="H310" i="7" s="1"/>
  <c r="H203" i="7"/>
  <c r="H193" i="7" a="1"/>
  <c r="H193" i="7" s="1"/>
  <c r="H174" i="7"/>
  <c r="H173" i="7"/>
  <c r="H283" i="7" s="1"/>
  <c r="H176" i="7"/>
  <c r="H166" i="7" a="1"/>
  <c r="H166" i="7" s="1"/>
  <c r="H148" i="7"/>
  <c r="H147" i="7"/>
  <c r="H146" i="7"/>
  <c r="H256" i="7" s="1"/>
  <c r="H149" i="7"/>
  <c r="H139" i="7" a="1"/>
  <c r="H139" i="7" s="1"/>
  <c r="H120" i="7"/>
  <c r="H121" i="7"/>
  <c r="H112" i="7" a="1"/>
  <c r="H112" i="7" s="1"/>
  <c r="H94" i="7"/>
  <c r="H93" i="7"/>
  <c r="H92" i="7"/>
  <c r="H202" i="7" s="1"/>
  <c r="H66" i="7"/>
  <c r="H65" i="7"/>
  <c r="H175" i="7" s="1"/>
  <c r="H85" i="7" a="1"/>
  <c r="H85" i="7" s="1"/>
  <c r="E15" i="21"/>
  <c r="F5" i="21" s="1"/>
  <c r="H62" i="7"/>
  <c r="AP27" i="18"/>
  <c r="AP26" i="18"/>
  <c r="AP25" i="18"/>
  <c r="AP24" i="18"/>
  <c r="AP23" i="18"/>
  <c r="AP22" i="18"/>
  <c r="AP21" i="18"/>
  <c r="AP20" i="18"/>
  <c r="AP19" i="18"/>
  <c r="AP18" i="18"/>
  <c r="G9" i="25"/>
  <c r="G10" i="25"/>
  <c r="G11" i="25"/>
  <c r="G12" i="25"/>
  <c r="G13" i="25"/>
  <c r="G14" i="25"/>
  <c r="G15" i="25"/>
  <c r="G16" i="25"/>
  <c r="G17" i="25"/>
  <c r="G18" i="25"/>
  <c r="G19" i="25"/>
  <c r="G20" i="25"/>
  <c r="G21" i="25"/>
  <c r="G22" i="25"/>
  <c r="G23" i="25"/>
  <c r="G24" i="25"/>
  <c r="G25" i="25"/>
  <c r="G26" i="25"/>
  <c r="G27" i="25"/>
  <c r="F8" i="21" l="1"/>
  <c r="F10" i="21"/>
  <c r="F9" i="21"/>
  <c r="F7" i="21"/>
  <c r="F6" i="21"/>
  <c r="F12" i="21"/>
  <c r="F14" i="21"/>
  <c r="F13" i="21"/>
  <c r="H64" i="7"/>
  <c r="F258" i="4"/>
  <c r="F257" i="4"/>
  <c r="F256" i="4"/>
  <c r="F255" i="4"/>
  <c r="F254" i="4"/>
  <c r="F253" i="4"/>
  <c r="F252" i="4"/>
  <c r="F251" i="4"/>
  <c r="F243" i="4"/>
  <c r="F242" i="4"/>
  <c r="F241" i="4"/>
  <c r="F240" i="4"/>
  <c r="F239" i="4"/>
  <c r="F238" i="4"/>
  <c r="F237" i="4"/>
  <c r="F236" i="4"/>
  <c r="F216" i="4"/>
  <c r="F215" i="4"/>
  <c r="F214" i="4"/>
  <c r="F213" i="4"/>
  <c r="F212" i="4"/>
  <c r="F211" i="4"/>
  <c r="F210" i="4"/>
  <c r="F209" i="4"/>
  <c r="F118" i="4"/>
  <c r="F117" i="4"/>
  <c r="F116" i="4"/>
  <c r="F115" i="4"/>
  <c r="F114" i="4"/>
  <c r="F113" i="4"/>
  <c r="F112" i="4"/>
  <c r="F111" i="4"/>
  <c r="F92" i="4"/>
  <c r="F91" i="4"/>
  <c r="F90" i="4"/>
  <c r="F89" i="4"/>
  <c r="F88" i="4"/>
  <c r="F87" i="4"/>
  <c r="F86" i="4"/>
  <c r="F85" i="4"/>
  <c r="F138" i="4"/>
  <c r="F137" i="4"/>
  <c r="F136" i="4"/>
  <c r="F135" i="4"/>
  <c r="F134" i="4"/>
  <c r="F133" i="4"/>
  <c r="F132" i="4"/>
  <c r="F131" i="4"/>
  <c r="F201" i="4"/>
  <c r="F200" i="4"/>
  <c r="F199" i="4"/>
  <c r="F198" i="4"/>
  <c r="F197" i="4"/>
  <c r="F196" i="4"/>
  <c r="F195" i="4"/>
  <c r="F194" i="4"/>
  <c r="F174" i="4"/>
  <c r="F173" i="4"/>
  <c r="F172" i="4"/>
  <c r="F171" i="4"/>
  <c r="F170" i="4"/>
  <c r="F169" i="4"/>
  <c r="F168" i="4"/>
  <c r="F167" i="4"/>
  <c r="F15" i="21" l="1"/>
  <c r="G15" i="21"/>
  <c r="F140" i="4"/>
  <c r="F141" i="4" s="1"/>
  <c r="I127" i="4" s="1" a="1"/>
  <c r="I127" i="4" s="1"/>
  <c r="F120" i="4"/>
  <c r="F121" i="4" s="1"/>
  <c r="I107" i="4" s="1" a="1"/>
  <c r="I107" i="4" s="1"/>
  <c r="F70" i="4" l="1"/>
  <c r="F71" i="4"/>
  <c r="F72" i="4"/>
  <c r="F73" i="4"/>
  <c r="F74" i="4"/>
  <c r="F75" i="4"/>
  <c r="F76" i="4"/>
  <c r="F77" i="4"/>
  <c r="F37" i="30" a="1"/>
  <c r="F37" i="30" s="1"/>
  <c r="C201" i="30"/>
  <c r="F193" i="30"/>
  <c r="F192" i="30"/>
  <c r="F191" i="30"/>
  <c r="F178" i="30"/>
  <c r="F177" i="30"/>
  <c r="F176" i="30"/>
  <c r="F175" i="30"/>
  <c r="F174" i="30"/>
  <c r="F173" i="30"/>
  <c r="F172" i="30"/>
  <c r="F171" i="30"/>
  <c r="C164" i="30"/>
  <c r="F156" i="30"/>
  <c r="F155" i="30"/>
  <c r="F154" i="30"/>
  <c r="F141" i="30"/>
  <c r="F140" i="30"/>
  <c r="F139" i="30"/>
  <c r="F138" i="30"/>
  <c r="F137" i="30"/>
  <c r="F136" i="30"/>
  <c r="F135" i="30"/>
  <c r="F134" i="30"/>
  <c r="C127" i="30"/>
  <c r="F119" i="30"/>
  <c r="F118" i="30"/>
  <c r="F117" i="30"/>
  <c r="F104" i="30"/>
  <c r="F103" i="30"/>
  <c r="F102" i="30"/>
  <c r="F101" i="30"/>
  <c r="F100" i="30"/>
  <c r="F99" i="30"/>
  <c r="F98" i="30"/>
  <c r="F97" i="30"/>
  <c r="H92" i="30" a="1"/>
  <c r="H92" i="30" s="1"/>
  <c r="C90" i="30"/>
  <c r="F82" i="30"/>
  <c r="F81" i="30"/>
  <c r="F80" i="30"/>
  <c r="F67" i="30"/>
  <c r="F66" i="30"/>
  <c r="F65" i="30"/>
  <c r="F64" i="30"/>
  <c r="F63" i="30"/>
  <c r="F62" i="30"/>
  <c r="F61" i="30"/>
  <c r="F60" i="30"/>
  <c r="F46" i="30" a="1"/>
  <c r="F46" i="30" s="1"/>
  <c r="F45" i="30"/>
  <c r="F44" i="30"/>
  <c r="F43" i="30"/>
  <c r="F42" i="30"/>
  <c r="F41" i="30"/>
  <c r="F40" i="30"/>
  <c r="F39" i="30"/>
  <c r="F38" i="30"/>
  <c r="C203" i="29"/>
  <c r="F195" i="29"/>
  <c r="F194" i="29"/>
  <c r="F193" i="29"/>
  <c r="F180" i="29"/>
  <c r="F179" i="29"/>
  <c r="F178" i="29"/>
  <c r="F177" i="29"/>
  <c r="F176" i="29"/>
  <c r="F175" i="29"/>
  <c r="F174" i="29"/>
  <c r="F173" i="29"/>
  <c r="C166" i="29"/>
  <c r="F158" i="29"/>
  <c r="F157" i="29"/>
  <c r="F156" i="29"/>
  <c r="F143" i="29"/>
  <c r="F142" i="29"/>
  <c r="F141" i="29"/>
  <c r="F140" i="29"/>
  <c r="F139" i="29"/>
  <c r="F138" i="29"/>
  <c r="F137" i="29"/>
  <c r="F136" i="29"/>
  <c r="C129" i="29"/>
  <c r="F121" i="29"/>
  <c r="F120" i="29"/>
  <c r="F119" i="29"/>
  <c r="F106" i="29"/>
  <c r="F105" i="29"/>
  <c r="F104" i="29"/>
  <c r="F103" i="29"/>
  <c r="F102" i="29"/>
  <c r="F101" i="29"/>
  <c r="F100" i="29"/>
  <c r="F99" i="29"/>
  <c r="H94" i="29" a="1"/>
  <c r="H94" i="29" s="1"/>
  <c r="C92" i="29"/>
  <c r="F84" i="29"/>
  <c r="F83" i="29"/>
  <c r="F82" i="29"/>
  <c r="F69" i="29"/>
  <c r="F68" i="29"/>
  <c r="F67" i="29"/>
  <c r="F66" i="29"/>
  <c r="F65" i="29"/>
  <c r="F64" i="29"/>
  <c r="F63" i="29"/>
  <c r="F62" i="29"/>
  <c r="H50" i="29" a="1"/>
  <c r="H50" i="29" s="1"/>
  <c r="F45" i="29"/>
  <c r="F44" i="29"/>
  <c r="F43" i="29"/>
  <c r="F42" i="29"/>
  <c r="F41" i="29"/>
  <c r="F40" i="29"/>
  <c r="F39" i="29"/>
  <c r="F38" i="29"/>
  <c r="F32" i="25"/>
  <c r="F33" i="25"/>
  <c r="I5" i="28"/>
  <c r="G7" i="8"/>
  <c r="G8" i="8"/>
  <c r="G9" i="8"/>
  <c r="G10" i="8"/>
  <c r="G11" i="8"/>
  <c r="G12" i="8"/>
  <c r="G13" i="8"/>
  <c r="G14" i="8"/>
  <c r="G15" i="8"/>
  <c r="G16" i="8"/>
  <c r="G17" i="8"/>
  <c r="G18" i="8"/>
  <c r="G6" i="8"/>
  <c r="C266" i="4"/>
  <c r="C224" i="4"/>
  <c r="C182" i="4"/>
  <c r="E29" i="13"/>
  <c r="E28" i="13"/>
  <c r="E27" i="13"/>
  <c r="E26" i="13"/>
  <c r="D25" i="13"/>
  <c r="D30" i="13" s="1"/>
  <c r="C25" i="13"/>
  <c r="C30" i="13" s="1"/>
  <c r="I32" i="30" a="1"/>
  <c r="F158" i="30" l="1"/>
  <c r="F159" i="30" s="1"/>
  <c r="E164" i="30" s="1"/>
  <c r="F121" i="30"/>
  <c r="F122" i="30" s="1"/>
  <c r="E127" i="30" s="1"/>
  <c r="F195" i="30"/>
  <c r="F196" i="30" s="1"/>
  <c r="E201" i="30" s="1"/>
  <c r="F47" i="30"/>
  <c r="F48" i="30" s="1"/>
  <c r="F94" i="4"/>
  <c r="F95" i="4" s="1"/>
  <c r="F143" i="30"/>
  <c r="F144" i="30" s="1"/>
  <c r="E163" i="30" s="1"/>
  <c r="E165" i="30" s="1"/>
  <c r="F69" i="30"/>
  <c r="F70" i="30" s="1"/>
  <c r="E89" i="30" s="1"/>
  <c r="E91" i="30" s="1"/>
  <c r="F92" i="30" s="1" a="1"/>
  <c r="F92" i="30" s="1"/>
  <c r="F180" i="30"/>
  <c r="F181" i="30" s="1"/>
  <c r="E200" i="30" s="1"/>
  <c r="F106" i="30"/>
  <c r="F107" i="30" s="1"/>
  <c r="E126" i="30" s="1"/>
  <c r="E128" i="30" s="1"/>
  <c r="F84" i="30"/>
  <c r="F85" i="30" s="1"/>
  <c r="E90" i="30" s="1"/>
  <c r="I32" i="30"/>
  <c r="F160" i="29"/>
  <c r="F161" i="29" s="1"/>
  <c r="E166" i="29" s="1"/>
  <c r="F123" i="29"/>
  <c r="F124" i="29" s="1"/>
  <c r="E129" i="29" s="1"/>
  <c r="F197" i="29"/>
  <c r="F198" i="29" s="1"/>
  <c r="E203" i="29" s="1"/>
  <c r="F145" i="29"/>
  <c r="F146" i="29" s="1"/>
  <c r="E165" i="29" s="1"/>
  <c r="E167" i="29" s="1"/>
  <c r="F108" i="29"/>
  <c r="F109" i="29" s="1"/>
  <c r="E128" i="29" s="1"/>
  <c r="E130" i="29" s="1"/>
  <c r="F182" i="29"/>
  <c r="F183" i="29" s="1"/>
  <c r="E202" i="29" s="1"/>
  <c r="F71" i="29"/>
  <c r="F72" i="29" s="1"/>
  <c r="E91" i="29" s="1"/>
  <c r="E93" i="29" s="1"/>
  <c r="F94" i="29" s="1" a="1"/>
  <c r="F94" i="29" s="1"/>
  <c r="F86" i="29"/>
  <c r="F87" i="29" s="1"/>
  <c r="E92" i="29" s="1"/>
  <c r="F47" i="29"/>
  <c r="F48" i="29" s="1"/>
  <c r="F50" i="29" s="1" a="1"/>
  <c r="F50" i="29" s="1"/>
  <c r="E30" i="13"/>
  <c r="E25" i="13"/>
  <c r="I33" i="30" l="1" a="1"/>
  <c r="I33" i="30" s="1"/>
  <c r="E202" i="30"/>
  <c r="E204" i="29"/>
  <c r="E99" i="12" a="1"/>
  <c r="E99" i="12" s="1"/>
  <c r="E91" i="12"/>
  <c r="I24" i="19" a="1"/>
  <c r="I24" i="19" s="1"/>
  <c r="I25" i="19" a="1"/>
  <c r="I25" i="19" s="1"/>
  <c r="I26" i="19" a="1"/>
  <c r="I26" i="19" s="1"/>
  <c r="I27" i="19" a="1"/>
  <c r="I27" i="19" s="1"/>
  <c r="I28" i="19" a="1"/>
  <c r="I28" i="19" s="1"/>
  <c r="I23" i="19" a="1"/>
  <c r="I23" i="19" s="1"/>
  <c r="C12" i="5" l="1"/>
  <c r="C17" i="5" s="1"/>
  <c r="C100" i="4"/>
  <c r="E100" i="4" s="1"/>
  <c r="F159" i="4"/>
  <c r="F158" i="4"/>
  <c r="F157" i="4"/>
  <c r="F156" i="4"/>
  <c r="F155" i="4"/>
  <c r="F154" i="4"/>
  <c r="F153" i="4"/>
  <c r="F152" i="4"/>
  <c r="F176" i="4" l="1"/>
  <c r="F177" i="4" s="1"/>
  <c r="E182" i="4" s="1"/>
  <c r="F218" i="4"/>
  <c r="F219" i="4" s="1"/>
  <c r="E224" i="4" s="1"/>
  <c r="F260" i="4"/>
  <c r="F261" i="4" s="1"/>
  <c r="F245" i="4"/>
  <c r="F246" i="4" s="1"/>
  <c r="F203" i="4"/>
  <c r="F204" i="4" s="1"/>
  <c r="E223" i="4" s="1"/>
  <c r="F161" i="4"/>
  <c r="F162" i="4" s="1"/>
  <c r="E181" i="4" s="1"/>
  <c r="E266" i="4" l="1"/>
  <c r="E265" i="4"/>
  <c r="E267" i="4" s="1"/>
  <c r="I231" i="4" s="1" a="1"/>
  <c r="I231" i="4" s="1"/>
  <c r="E225" i="4"/>
  <c r="I189" i="4" s="1" a="1"/>
  <c r="I189" i="4" s="1"/>
  <c r="E183" i="4"/>
  <c r="I147" i="4" s="1" a="1"/>
  <c r="I147" i="4" s="1"/>
  <c r="D27" i="12" a="1"/>
  <c r="D27" i="12" s="1"/>
  <c r="I6" i="28"/>
  <c r="I7" i="28"/>
  <c r="I8" i="28"/>
  <c r="I9" i="28"/>
  <c r="I10" i="28"/>
  <c r="I11" i="28"/>
  <c r="I12" i="28"/>
  <c r="I13" i="28"/>
  <c r="I14" i="28"/>
  <c r="I15" i="28"/>
  <c r="I16" i="28"/>
  <c r="I17" i="28"/>
  <c r="I18" i="28"/>
  <c r="I19" i="28"/>
  <c r="I20" i="28"/>
  <c r="M6" i="28"/>
  <c r="M5" i="28"/>
  <c r="K6" i="28"/>
  <c r="K7" i="28"/>
  <c r="K8" i="28"/>
  <c r="K9" i="28"/>
  <c r="K10" i="28"/>
  <c r="K11" i="28"/>
  <c r="K12" i="28"/>
  <c r="K13" i="28"/>
  <c r="K14" i="28"/>
  <c r="K15" i="28"/>
  <c r="K16" i="28"/>
  <c r="K17" i="28"/>
  <c r="K18" i="28"/>
  <c r="K19" i="28"/>
  <c r="K20" i="28"/>
  <c r="K5" i="28"/>
  <c r="M7" i="28"/>
  <c r="M8" i="28"/>
  <c r="M9" i="28"/>
  <c r="M10" i="28"/>
  <c r="M11" i="28"/>
  <c r="M12" i="28"/>
  <c r="M13" i="28"/>
  <c r="M14" i="28"/>
  <c r="M15" i="28"/>
  <c r="M16" i="28"/>
  <c r="M17" i="28"/>
  <c r="M18" i="28"/>
  <c r="M19" i="28"/>
  <c r="M20" i="28"/>
  <c r="G5" i="28"/>
  <c r="G6" i="28"/>
  <c r="G7" i="28"/>
  <c r="G8" i="28"/>
  <c r="G9" i="28"/>
  <c r="G10" i="28"/>
  <c r="G11" i="28"/>
  <c r="G12" i="28"/>
  <c r="G13" i="28"/>
  <c r="G14" i="28"/>
  <c r="G15" i="28"/>
  <c r="G16" i="28"/>
  <c r="G17" i="28"/>
  <c r="G18" i="28"/>
  <c r="G19" i="28"/>
  <c r="G20" i="28"/>
  <c r="C43" i="3"/>
  <c r="C44" i="3"/>
  <c r="C45" i="3"/>
  <c r="C46" i="3"/>
  <c r="C47" i="3"/>
  <c r="C48" i="3"/>
  <c r="C49" i="3"/>
  <c r="C50" i="3"/>
  <c r="C51" i="3"/>
  <c r="C52" i="3"/>
  <c r="C53" i="3"/>
  <c r="C42" i="3"/>
  <c r="F35" i="25"/>
  <c r="F36" i="25"/>
  <c r="F37" i="25"/>
  <c r="G37" i="25" s="1"/>
  <c r="F38" i="25"/>
  <c r="G38" i="25" s="1"/>
  <c r="F39" i="25"/>
  <c r="G39" i="25" s="1"/>
  <c r="F40" i="25"/>
  <c r="G40" i="25" s="1"/>
  <c r="F41" i="25"/>
  <c r="G41" i="25" s="1"/>
  <c r="F42" i="25"/>
  <c r="G42" i="25" s="1"/>
  <c r="F43" i="25"/>
  <c r="G43" i="25" s="1"/>
  <c r="F44" i="25"/>
  <c r="G44" i="25" s="1"/>
  <c r="F45" i="25"/>
  <c r="F46" i="25"/>
  <c r="F47" i="25"/>
  <c r="F48" i="25"/>
  <c r="F49" i="25"/>
  <c r="F50" i="25"/>
  <c r="F34" i="25"/>
  <c r="D9" i="12" a="1"/>
  <c r="D9" i="12" s="1"/>
  <c r="I9" i="7" l="1"/>
  <c r="I73" i="9" a="1"/>
  <c r="I73" i="9" s="1"/>
  <c r="K73" i="9" s="1"/>
  <c r="H73" i="9" a="1"/>
  <c r="H73" i="9" s="1"/>
  <c r="G73" i="9" a="1"/>
  <c r="G73" i="9" s="1"/>
  <c r="I72" i="9" a="1"/>
  <c r="I72" i="9" s="1"/>
  <c r="K72" i="9" s="1"/>
  <c r="H72" i="9" a="1"/>
  <c r="H72" i="9" s="1"/>
  <c r="G72" i="9" a="1"/>
  <c r="G72" i="9" s="1"/>
  <c r="I71" i="9" a="1"/>
  <c r="I71" i="9" s="1"/>
  <c r="K71" i="9" s="1"/>
  <c r="H71" i="9" a="1"/>
  <c r="H71" i="9" s="1"/>
  <c r="G71" i="9" a="1"/>
  <c r="G71" i="9" s="1"/>
  <c r="I70" i="9" a="1"/>
  <c r="I70" i="9" s="1"/>
  <c r="K70" i="9" s="1"/>
  <c r="H70" i="9" a="1"/>
  <c r="H70" i="9" s="1"/>
  <c r="G70" i="9" a="1"/>
  <c r="G70" i="9" s="1"/>
  <c r="I69" i="9" a="1"/>
  <c r="I69" i="9" s="1"/>
  <c r="K69" i="9" s="1"/>
  <c r="H69" i="9" a="1"/>
  <c r="H69" i="9" s="1"/>
  <c r="G69" i="9" a="1"/>
  <c r="G69" i="9" s="1"/>
  <c r="I68" i="9" a="1"/>
  <c r="I68" i="9" s="1"/>
  <c r="K68" i="9" s="1"/>
  <c r="H68" i="9" a="1"/>
  <c r="H68" i="9" s="1"/>
  <c r="G68" i="9" a="1"/>
  <c r="G68" i="9" s="1"/>
  <c r="I67" i="9" a="1"/>
  <c r="I67" i="9" s="1"/>
  <c r="K67" i="9" s="1"/>
  <c r="H67" i="9" a="1"/>
  <c r="H67" i="9" s="1"/>
  <c r="G67" i="9" a="1"/>
  <c r="G67" i="9" s="1"/>
  <c r="I66" i="9" a="1"/>
  <c r="I66" i="9" s="1"/>
  <c r="K66" i="9" s="1"/>
  <c r="H66" i="9" a="1"/>
  <c r="H66" i="9" s="1"/>
  <c r="G66" i="9" a="1"/>
  <c r="G66" i="9" s="1"/>
  <c r="I65" i="9" a="1"/>
  <c r="I65" i="9" s="1"/>
  <c r="K65" i="9" s="1"/>
  <c r="H65" i="9" a="1"/>
  <c r="H65" i="9" s="1"/>
  <c r="G65" i="9" a="1"/>
  <c r="G65" i="9" s="1"/>
  <c r="I64" i="9" a="1"/>
  <c r="I64" i="9" s="1"/>
  <c r="K64" i="9" s="1"/>
  <c r="H64" i="9" a="1"/>
  <c r="H64" i="9" s="1"/>
  <c r="G64" i="9" a="1"/>
  <c r="G64" i="9" s="1"/>
  <c r="I63" i="9" a="1"/>
  <c r="I63" i="9" s="1"/>
  <c r="K63" i="9" s="1"/>
  <c r="H63" i="9" a="1"/>
  <c r="H63" i="9" s="1"/>
  <c r="G63" i="9" a="1"/>
  <c r="G63" i="9" s="1"/>
  <c r="I62" i="9" a="1"/>
  <c r="I62" i="9" s="1"/>
  <c r="K62" i="9" s="1"/>
  <c r="H62" i="9" a="1"/>
  <c r="H62" i="9" s="1"/>
  <c r="G62" i="9" a="1"/>
  <c r="G62" i="9" s="1"/>
  <c r="I121" i="16" l="1"/>
  <c r="I122" i="16"/>
  <c r="I119" i="16"/>
  <c r="I120" i="16"/>
  <c r="I116" i="16"/>
  <c r="I117" i="16"/>
  <c r="I118"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H65" i="12" l="1" a="1"/>
  <c r="H65" i="12" s="1"/>
  <c r="D79" i="12"/>
  <c r="J7" i="21"/>
  <c r="K7" i="21" s="1"/>
  <c r="J8" i="21"/>
  <c r="K8" i="21" s="1"/>
  <c r="J9" i="21"/>
  <c r="K9" i="21" s="1"/>
  <c r="J10" i="21"/>
  <c r="K10" i="21" s="1"/>
  <c r="J5" i="21"/>
  <c r="K5" i="21" s="1"/>
  <c r="J12" i="21"/>
  <c r="K12" i="21" s="1"/>
  <c r="J6" i="21"/>
  <c r="B37" i="3"/>
  <c r="K6" i="21" l="1"/>
  <c r="H64" i="12" a="1"/>
  <c r="H64" i="12" s="1"/>
  <c r="D16" i="12"/>
  <c r="D95" i="12" s="1" a="1"/>
  <c r="D95" i="12" s="1"/>
  <c r="D67" i="12" a="1"/>
  <c r="D67" i="12" s="1"/>
  <c r="E68" i="12" a="1"/>
  <c r="E68" i="12" s="1"/>
  <c r="G65" i="12"/>
  <c r="G64" i="12"/>
  <c r="G23" i="8"/>
  <c r="H23" i="8" s="1"/>
  <c r="H71" i="12"/>
  <c r="E71" i="12" s="1" a="1"/>
  <c r="E71" i="12" s="1"/>
  <c r="E59" i="12" a="1"/>
  <c r="E59" i="12" s="1"/>
  <c r="D71" i="12" a="1"/>
  <c r="D71" i="12" s="1"/>
  <c r="D58" i="12"/>
  <c r="K21" i="20"/>
  <c r="K22" i="20"/>
  <c r="K23" i="20"/>
  <c r="K24" i="20"/>
  <c r="K25" i="20"/>
  <c r="K26" i="20"/>
  <c r="K27" i="20"/>
  <c r="K28" i="20"/>
  <c r="K29" i="20"/>
  <c r="K30" i="20"/>
  <c r="K31" i="20"/>
  <c r="K32" i="20"/>
  <c r="K33" i="20"/>
  <c r="K4" i="20"/>
  <c r="K5" i="20"/>
  <c r="K6" i="20"/>
  <c r="K7" i="20"/>
  <c r="K8" i="20"/>
  <c r="K9" i="20"/>
  <c r="K10" i="20"/>
  <c r="K11" i="20"/>
  <c r="K12" i="20"/>
  <c r="K13" i="20"/>
  <c r="K14" i="20"/>
  <c r="K15" i="20"/>
  <c r="K16" i="20"/>
  <c r="K17" i="20"/>
  <c r="K18" i="20"/>
  <c r="K19" i="20"/>
  <c r="K20" i="20"/>
  <c r="K3" i="20"/>
  <c r="D23" i="12"/>
  <c r="I10" i="7"/>
  <c r="I11" i="7"/>
  <c r="I12" i="7"/>
  <c r="I13" i="7"/>
  <c r="I14" i="7"/>
  <c r="I15" i="7"/>
  <c r="I16" i="7"/>
  <c r="I17" i="7"/>
  <c r="I18" i="7"/>
  <c r="E6" i="12" a="1"/>
  <c r="E6" i="12" s="1"/>
  <c r="E7" i="12" s="1" a="1"/>
  <c r="E7" i="12" s="1"/>
  <c r="I70" i="16"/>
  <c r="J107" i="16"/>
  <c r="J108" i="16"/>
  <c r="J109" i="16"/>
  <c r="J110" i="16"/>
  <c r="J111" i="16"/>
  <c r="J112" i="16"/>
  <c r="J113" i="16"/>
  <c r="J114" i="16"/>
  <c r="J115" i="16"/>
  <c r="H307" i="7"/>
  <c r="H306" i="7"/>
  <c r="H280" i="7"/>
  <c r="H279" i="7"/>
  <c r="H253" i="7"/>
  <c r="H252" i="7"/>
  <c r="H226" i="7"/>
  <c r="H225" i="7"/>
  <c r="H199" i="7"/>
  <c r="H198" i="7"/>
  <c r="H145" i="7"/>
  <c r="H302" i="7" a="1"/>
  <c r="H302" i="7" s="1"/>
  <c r="H300" i="7" a="1"/>
  <c r="H300" i="7" s="1"/>
  <c r="H299" i="7" a="1"/>
  <c r="H299" i="7" s="1"/>
  <c r="H298" i="7" a="1"/>
  <c r="H298" i="7" s="1"/>
  <c r="H248" i="7" a="1"/>
  <c r="H248" i="7" s="1"/>
  <c r="H246" i="7" a="1"/>
  <c r="H246" i="7" s="1"/>
  <c r="H245" i="7" a="1"/>
  <c r="H245" i="7" s="1"/>
  <c r="H244" i="7" a="1"/>
  <c r="H244" i="7" s="1"/>
  <c r="H144" i="7"/>
  <c r="H122" i="7"/>
  <c r="H118" i="7"/>
  <c r="H117" i="7"/>
  <c r="H95" i="7"/>
  <c r="H91" i="7"/>
  <c r="H90" i="7"/>
  <c r="H123" i="7" l="1"/>
  <c r="H315" i="7"/>
  <c r="H312" i="7"/>
  <c r="H285" i="7"/>
  <c r="H261" i="7"/>
  <c r="H258" i="7"/>
  <c r="H204" i="7"/>
  <c r="H231" i="7"/>
  <c r="H150" i="7"/>
  <c r="H96" i="7"/>
  <c r="E17" i="12" a="1"/>
  <c r="E17" i="12" s="1"/>
  <c r="E8" i="12"/>
  <c r="E22" i="12" a="1"/>
  <c r="E22" i="12" s="1"/>
  <c r="E78" i="12" a="1"/>
  <c r="E78" i="12" s="1"/>
  <c r="E74" i="12" a="1"/>
  <c r="E74" i="12" s="1"/>
  <c r="E40" i="12" a="1"/>
  <c r="E40" i="12" s="1"/>
  <c r="E14" i="12" a="1"/>
  <c r="E14" i="12" s="1"/>
  <c r="E34" i="12" a="1"/>
  <c r="E34" i="12" s="1"/>
  <c r="E41" i="12" a="1"/>
  <c r="E41" i="12" s="1"/>
  <c r="E15" i="12" a="1"/>
  <c r="E15" i="12" s="1"/>
  <c r="E23" i="12" a="1"/>
  <c r="E23" i="12" s="1"/>
  <c r="E35" i="12" a="1"/>
  <c r="E35" i="12" s="1"/>
  <c r="E48" i="12" a="1"/>
  <c r="E48" i="12" s="1"/>
  <c r="E16" i="12" a="1"/>
  <c r="E16" i="12" s="1"/>
  <c r="E37" i="12" a="1"/>
  <c r="E37" i="12" s="1"/>
  <c r="E50" i="12" a="1"/>
  <c r="E50" i="12" s="1"/>
  <c r="E19" i="12" a="1"/>
  <c r="E19" i="12" s="1"/>
  <c r="E58" i="12" a="1"/>
  <c r="E58" i="12" s="1"/>
  <c r="E73" i="12" a="1"/>
  <c r="E73" i="12" s="1"/>
  <c r="E79" i="12" a="1"/>
  <c r="E79" i="12" s="1"/>
  <c r="E61" i="12" a="1"/>
  <c r="E61" i="12" s="1"/>
  <c r="E64" i="12" a="1"/>
  <c r="E64" i="12" s="1"/>
  <c r="E77" i="12" a="1"/>
  <c r="E77" i="12" s="1"/>
  <c r="E56" i="12" a="1"/>
  <c r="E56" i="12" s="1"/>
  <c r="E67" i="12" a="1"/>
  <c r="E67" i="12" s="1"/>
  <c r="E57" i="12" a="1"/>
  <c r="E57" i="12" s="1"/>
  <c r="D47" i="12" a="1"/>
  <c r="D47" i="12" s="1"/>
  <c r="D44" i="16" l="1"/>
  <c r="D51" i="16" l="1"/>
  <c r="D50" i="16"/>
  <c r="F33" i="9" l="1"/>
  <c r="G33" i="9" s="1"/>
  <c r="D4" i="15" l="1"/>
  <c r="C4" i="15"/>
  <c r="H172" i="7" l="1"/>
  <c r="H171" i="7"/>
  <c r="H67" i="7"/>
  <c r="H63" i="7"/>
  <c r="H68" i="7" s="1"/>
  <c r="H109" i="7" a="1"/>
  <c r="H109" i="7" s="1"/>
  <c r="F34" i="9"/>
  <c r="G34" i="9" s="1"/>
  <c r="F32" i="9"/>
  <c r="G32" i="9" s="1"/>
  <c r="F31" i="9"/>
  <c r="G31" i="9" s="1"/>
  <c r="F30" i="9"/>
  <c r="G30" i="9" s="1"/>
  <c r="H271" i="7" a="1"/>
  <c r="H271" i="7" s="1"/>
  <c r="H272" i="7" a="1"/>
  <c r="H272" i="7" s="1"/>
  <c r="H273" i="7" a="1"/>
  <c r="H273" i="7" s="1"/>
  <c r="H262" i="7"/>
  <c r="H221" i="7" a="1"/>
  <c r="H221" i="7" s="1"/>
  <c r="H219" i="7" a="1"/>
  <c r="H219" i="7" s="1"/>
  <c r="H218" i="7" a="1"/>
  <c r="H218" i="7" s="1"/>
  <c r="H217" i="7" a="1"/>
  <c r="H217" i="7" s="1"/>
  <c r="H194" i="7" a="1"/>
  <c r="H194" i="7" s="1"/>
  <c r="H192" i="7" a="1"/>
  <c r="H192" i="7" s="1"/>
  <c r="H191" i="7" a="1"/>
  <c r="H191" i="7" s="1"/>
  <c r="H190" i="7" a="1"/>
  <c r="H190" i="7" s="1"/>
  <c r="H163" i="7" a="1"/>
  <c r="H163" i="7" s="1"/>
  <c r="H136" i="7" a="1"/>
  <c r="H136" i="7" s="1"/>
  <c r="H82" i="7" a="1"/>
  <c r="H82" i="7" s="1"/>
  <c r="H54" i="7" a="1"/>
  <c r="H54" i="7" s="1"/>
  <c r="C27" i="17"/>
  <c r="H27" i="12"/>
  <c r="E27" i="12" s="1" a="1"/>
  <c r="E27" i="12" s="1"/>
  <c r="H207" i="7" l="1"/>
  <c r="H288" i="7"/>
  <c r="H290" i="7" s="1"/>
  <c r="H234" i="7"/>
  <c r="H236" i="7" s="1"/>
  <c r="H177" i="7"/>
  <c r="G35" i="9"/>
  <c r="D87" i="9" s="1"/>
  <c r="C28" i="7"/>
  <c r="C29" i="7"/>
  <c r="C30" i="7"/>
  <c r="C31" i="7"/>
  <c r="C32" i="7"/>
  <c r="C33" i="7"/>
  <c r="E72" i="16"/>
  <c r="F72" i="16" s="1"/>
  <c r="E70" i="16"/>
  <c r="F70" i="16" s="1"/>
  <c r="E69" i="16"/>
  <c r="F69" i="16" s="1"/>
  <c r="E68" i="16"/>
  <c r="F68" i="16" s="1"/>
  <c r="H289" i="7" l="1"/>
  <c r="H291" i="7"/>
  <c r="G32" i="7"/>
  <c r="H237" i="7"/>
  <c r="G30" i="7"/>
  <c r="F15" i="15" l="1"/>
  <c r="F11" i="15"/>
  <c r="F12" i="15"/>
  <c r="F13" i="15"/>
  <c r="F14" i="15"/>
  <c r="F10" i="15"/>
  <c r="F9" i="15"/>
  <c r="F6" i="15"/>
  <c r="F5" i="15"/>
  <c r="F5" i="14"/>
  <c r="F6" i="14"/>
  <c r="F7" i="14"/>
  <c r="F8" i="14"/>
  <c r="F10" i="14"/>
  <c r="F11" i="14"/>
  <c r="F12" i="14"/>
  <c r="F13" i="14"/>
  <c r="F14" i="14"/>
  <c r="F15" i="14"/>
  <c r="F16" i="14"/>
  <c r="F17" i="14"/>
  <c r="F19" i="14"/>
  <c r="F20" i="14"/>
  <c r="F21" i="14"/>
  <c r="E18" i="13"/>
  <c r="E19" i="13"/>
  <c r="E20" i="13"/>
  <c r="E14" i="13"/>
  <c r="E15" i="13"/>
  <c r="E16" i="13"/>
  <c r="E11" i="13"/>
  <c r="E12" i="13"/>
  <c r="E10" i="13"/>
  <c r="E6" i="13"/>
  <c r="E7" i="13"/>
  <c r="E8" i="13"/>
  <c r="E5" i="13"/>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9" i="20"/>
  <c r="G118" i="20"/>
  <c r="G117" i="20"/>
  <c r="G116" i="20"/>
  <c r="G115" i="20"/>
  <c r="G114" i="20"/>
  <c r="G113" i="20"/>
  <c r="G112" i="20"/>
  <c r="G111" i="20"/>
  <c r="G110" i="20"/>
  <c r="G109" i="20"/>
  <c r="G108" i="20"/>
  <c r="G107" i="20"/>
  <c r="G106" i="20"/>
  <c r="G105" i="20"/>
  <c r="G104" i="20"/>
  <c r="G103" i="20"/>
  <c r="G102" i="20"/>
  <c r="G101" i="20"/>
  <c r="G100" i="20"/>
  <c r="G99" i="20"/>
  <c r="G98" i="20"/>
  <c r="G97" i="20"/>
  <c r="G96" i="20"/>
  <c r="G95" i="20"/>
  <c r="G94" i="20"/>
  <c r="G93" i="20"/>
  <c r="G92" i="20"/>
  <c r="G91"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J33" i="20"/>
  <c r="H33" i="20"/>
  <c r="J32" i="20"/>
  <c r="H32" i="20"/>
  <c r="J31" i="20"/>
  <c r="H31" i="20"/>
  <c r="J30" i="20"/>
  <c r="H30" i="20"/>
  <c r="J29" i="20"/>
  <c r="H29" i="20"/>
  <c r="J28" i="20"/>
  <c r="H28" i="20"/>
  <c r="J27" i="20"/>
  <c r="H27" i="20"/>
  <c r="J26" i="20"/>
  <c r="H26" i="20"/>
  <c r="J25" i="20"/>
  <c r="H25" i="20"/>
  <c r="J24" i="20"/>
  <c r="H24" i="20"/>
  <c r="H57" i="7" s="1" a="1"/>
  <c r="H57" i="7" s="1"/>
  <c r="J23" i="20"/>
  <c r="H23" i="20"/>
  <c r="J22" i="20"/>
  <c r="J20" i="20"/>
  <c r="H20" i="20"/>
  <c r="J19" i="20"/>
  <c r="H19" i="20"/>
  <c r="J18" i="20"/>
  <c r="H18" i="20"/>
  <c r="J17" i="20"/>
  <c r="H17" i="20"/>
  <c r="J16" i="20"/>
  <c r="H16" i="20"/>
  <c r="J15" i="20"/>
  <c r="H15" i="20"/>
  <c r="J14" i="20"/>
  <c r="H14" i="20"/>
  <c r="J13" i="20"/>
  <c r="J10" i="20"/>
  <c r="J9" i="20"/>
  <c r="J8" i="20"/>
  <c r="J7" i="20"/>
  <c r="J6" i="20"/>
  <c r="J5" i="20"/>
  <c r="J3" i="20"/>
  <c r="H10" i="19" a="1"/>
  <c r="H10" i="19" s="1"/>
  <c r="H9" i="19" a="1"/>
  <c r="H9" i="19" s="1"/>
  <c r="H8" i="19" a="1"/>
  <c r="H8" i="19" s="1"/>
  <c r="I8" i="19" s="1"/>
  <c r="H7" i="19" a="1"/>
  <c r="H7" i="19" s="1"/>
  <c r="H6" i="19" a="1"/>
  <c r="H6" i="19" s="1"/>
  <c r="C27" i="7"/>
  <c r="C26" i="7"/>
  <c r="C25" i="7"/>
  <c r="C24" i="7"/>
  <c r="I41" i="9" a="1"/>
  <c r="I41" i="9" s="1"/>
  <c r="K41" i="9" s="1"/>
  <c r="I42" i="9" a="1"/>
  <c r="I42" i="9" s="1"/>
  <c r="K42" i="9" s="1"/>
  <c r="I43" i="9" a="1"/>
  <c r="I43" i="9" s="1"/>
  <c r="K43" i="9" s="1"/>
  <c r="I44" i="9" a="1"/>
  <c r="I44" i="9" s="1"/>
  <c r="K44" i="9" s="1"/>
  <c r="I45" i="9" a="1"/>
  <c r="I45" i="9" s="1"/>
  <c r="K45" i="9" s="1"/>
  <c r="I46" i="9" a="1"/>
  <c r="I46" i="9" s="1"/>
  <c r="I47" i="9" a="1"/>
  <c r="I47" i="9" s="1"/>
  <c r="K47" i="9" s="1"/>
  <c r="I48" i="9" a="1"/>
  <c r="I48" i="9" s="1"/>
  <c r="K48" i="9" s="1"/>
  <c r="I49" i="9" a="1"/>
  <c r="I49" i="9" s="1"/>
  <c r="K49" i="9" s="1"/>
  <c r="I50" i="9" a="1"/>
  <c r="I50" i="9" s="1"/>
  <c r="K50" i="9" s="1"/>
  <c r="I51" i="9" a="1"/>
  <c r="I51" i="9" s="1"/>
  <c r="K51" i="9" s="1"/>
  <c r="I52" i="9" a="1"/>
  <c r="I52" i="9" s="1"/>
  <c r="K52" i="9" s="1"/>
  <c r="I53" i="9" a="1"/>
  <c r="I53" i="9" s="1"/>
  <c r="K53" i="9" s="1"/>
  <c r="I54" i="9" a="1"/>
  <c r="I54" i="9" s="1"/>
  <c r="K54" i="9" s="1"/>
  <c r="I55" i="9" a="1"/>
  <c r="I55" i="9" s="1"/>
  <c r="K55" i="9" s="1"/>
  <c r="I56" i="9" a="1"/>
  <c r="I56" i="9" s="1"/>
  <c r="K56" i="9" s="1"/>
  <c r="I57" i="9" a="1"/>
  <c r="I57" i="9" s="1"/>
  <c r="K57" i="9" s="1"/>
  <c r="I58" i="9" a="1"/>
  <c r="I58" i="9" s="1"/>
  <c r="K58" i="9" s="1"/>
  <c r="I59" i="9" a="1"/>
  <c r="I59" i="9" s="1"/>
  <c r="K59" i="9" s="1"/>
  <c r="I60" i="9" a="1"/>
  <c r="I60" i="9" s="1"/>
  <c r="K60" i="9" s="1"/>
  <c r="I61" i="9" a="1"/>
  <c r="I61" i="9" s="1"/>
  <c r="K61" i="9" s="1"/>
  <c r="I74" i="9" a="1"/>
  <c r="I74" i="9" s="1"/>
  <c r="K74" i="9" s="1"/>
  <c r="I75" i="9" a="1"/>
  <c r="I75" i="9" s="1"/>
  <c r="K75" i="9" s="1"/>
  <c r="I76" i="9" a="1"/>
  <c r="I76" i="9" s="1"/>
  <c r="K76" i="9" s="1"/>
  <c r="I40" i="9" a="1"/>
  <c r="I40" i="9" s="1"/>
  <c r="K40" i="9" s="1"/>
  <c r="H41" i="9" a="1"/>
  <c r="H41" i="9" s="1"/>
  <c r="H42" i="9" a="1"/>
  <c r="H42" i="9" s="1"/>
  <c r="H43" i="9" a="1"/>
  <c r="H43" i="9" s="1"/>
  <c r="H44" i="9" a="1"/>
  <c r="H44" i="9" s="1"/>
  <c r="H45" i="9" a="1"/>
  <c r="H45" i="9" s="1"/>
  <c r="H46" i="9" a="1"/>
  <c r="H46" i="9" s="1"/>
  <c r="H47" i="9" a="1"/>
  <c r="H47" i="9" s="1"/>
  <c r="H48" i="9" a="1"/>
  <c r="H48" i="9" s="1"/>
  <c r="H49" i="9" a="1"/>
  <c r="H49" i="9" s="1"/>
  <c r="H50" i="9" a="1"/>
  <c r="H50" i="9" s="1"/>
  <c r="H51" i="9" a="1"/>
  <c r="H51" i="9" s="1"/>
  <c r="H52" i="9" a="1"/>
  <c r="H52" i="9" s="1"/>
  <c r="H53" i="9" a="1"/>
  <c r="H53" i="9" s="1"/>
  <c r="H54" i="9" a="1"/>
  <c r="H54" i="9" s="1"/>
  <c r="H55" i="9" a="1"/>
  <c r="H55" i="9" s="1"/>
  <c r="H56" i="9" a="1"/>
  <c r="H56" i="9" s="1"/>
  <c r="H57" i="9" a="1"/>
  <c r="H57" i="9" s="1"/>
  <c r="H58" i="9" a="1"/>
  <c r="H58" i="9" s="1"/>
  <c r="H59" i="9" a="1"/>
  <c r="H59" i="9" s="1"/>
  <c r="H60" i="9" a="1"/>
  <c r="H60" i="9" s="1"/>
  <c r="H61" i="9" a="1"/>
  <c r="H61" i="9" s="1"/>
  <c r="H74" i="9" a="1"/>
  <c r="H74" i="9" s="1"/>
  <c r="H75" i="9" a="1"/>
  <c r="H75" i="9" s="1"/>
  <c r="H76" i="9" a="1"/>
  <c r="H76" i="9" s="1"/>
  <c r="H40" i="9" a="1"/>
  <c r="H40" i="9" s="1"/>
  <c r="G41" i="9" a="1"/>
  <c r="G41" i="9" s="1"/>
  <c r="G42" i="9" a="1"/>
  <c r="G42" i="9" s="1"/>
  <c r="G43" i="9" a="1"/>
  <c r="G43" i="9" s="1"/>
  <c r="G44" i="9" a="1"/>
  <c r="G44" i="9" s="1"/>
  <c r="G45" i="9" a="1"/>
  <c r="G45" i="9" s="1"/>
  <c r="G46" i="9" a="1"/>
  <c r="G46" i="9" s="1"/>
  <c r="G47" i="9" a="1"/>
  <c r="G47" i="9" s="1"/>
  <c r="G48" i="9" a="1"/>
  <c r="G48" i="9" s="1"/>
  <c r="G49" i="9" a="1"/>
  <c r="G49" i="9" s="1"/>
  <c r="G50" i="9" a="1"/>
  <c r="G50" i="9" s="1"/>
  <c r="G51" i="9" a="1"/>
  <c r="G51" i="9" s="1"/>
  <c r="G52" i="9" a="1"/>
  <c r="G52" i="9" s="1"/>
  <c r="G53" i="9" a="1"/>
  <c r="G53" i="9" s="1"/>
  <c r="G54" i="9" a="1"/>
  <c r="G54" i="9" s="1"/>
  <c r="G55" i="9" a="1"/>
  <c r="G55" i="9" s="1"/>
  <c r="G56" i="9" a="1"/>
  <c r="G56" i="9" s="1"/>
  <c r="G57" i="9" a="1"/>
  <c r="G57" i="9" s="1"/>
  <c r="G58" i="9" a="1"/>
  <c r="G58" i="9" s="1"/>
  <c r="G59" i="9" a="1"/>
  <c r="G59" i="9" s="1"/>
  <c r="G60" i="9" a="1"/>
  <c r="G60" i="9" s="1"/>
  <c r="G61" i="9" a="1"/>
  <c r="G61" i="9" s="1"/>
  <c r="G74" i="9" a="1"/>
  <c r="G74" i="9" s="1"/>
  <c r="G75" i="9" a="1"/>
  <c r="G75" i="9" s="1"/>
  <c r="G76" i="9" a="1"/>
  <c r="G76" i="9" s="1"/>
  <c r="G40" i="9" a="1"/>
  <c r="G40" i="9" s="1"/>
  <c r="H106" i="9"/>
  <c r="D4" i="12"/>
  <c r="E88" i="12"/>
  <c r="D94" i="12" a="1"/>
  <c r="D94" i="12" s="1"/>
  <c r="E96" i="12" s="1" a="1"/>
  <c r="E96" i="12" s="1"/>
  <c r="F7" i="15"/>
  <c r="G29" i="8"/>
  <c r="G24" i="8"/>
  <c r="G25" i="8"/>
  <c r="G26" i="8"/>
  <c r="G27" i="8"/>
  <c r="G28" i="8"/>
  <c r="G30" i="8"/>
  <c r="G31" i="8"/>
  <c r="G32" i="8"/>
  <c r="G33" i="8"/>
  <c r="G34" i="8"/>
  <c r="G35" i="8"/>
  <c r="D19" i="12" l="1" a="1"/>
  <c r="D19" i="12" s="1"/>
  <c r="E26" i="12" s="1" a="1"/>
  <c r="E26" i="12" s="1"/>
  <c r="D73" i="12" a="1"/>
  <c r="D73" i="12" s="1"/>
  <c r="D74" i="12" s="1"/>
  <c r="D82" i="12" s="1"/>
  <c r="H110" i="7" a="1"/>
  <c r="H110" i="7" s="1"/>
  <c r="H164" i="7" a="1"/>
  <c r="H164" i="7" s="1"/>
  <c r="H55" i="7" a="1"/>
  <c r="H55" i="7" s="1"/>
  <c r="H83" i="7" a="1"/>
  <c r="H83" i="7" s="1"/>
  <c r="H113" i="7" a="1"/>
  <c r="H113" i="7" s="1"/>
  <c r="H167" i="7" a="1"/>
  <c r="H167" i="7" s="1"/>
  <c r="H140" i="7" a="1"/>
  <c r="H140" i="7" s="1"/>
  <c r="H58" i="7" a="1"/>
  <c r="H58" i="7" s="1"/>
  <c r="H86" i="7" a="1"/>
  <c r="H86" i="7" s="1"/>
  <c r="H137" i="7" a="1"/>
  <c r="H137" i="7" s="1"/>
  <c r="H165" i="7" a="1"/>
  <c r="H165" i="7" s="1"/>
  <c r="H84" i="7" a="1"/>
  <c r="H84" i="7" s="1"/>
  <c r="H138" i="7" a="1"/>
  <c r="H138" i="7" s="1"/>
  <c r="D61" i="12" a="1"/>
  <c r="D61" i="12" s="1"/>
  <c r="H56" i="7" a="1"/>
  <c r="H56" i="7" s="1"/>
  <c r="H111" i="7" a="1"/>
  <c r="H111" i="7" s="1"/>
  <c r="H108" i="9"/>
  <c r="H112" i="9"/>
  <c r="H116" i="9"/>
  <c r="H120" i="9"/>
  <c r="H124" i="9"/>
  <c r="H128" i="9"/>
  <c r="H132" i="9"/>
  <c r="H136" i="9"/>
  <c r="H140" i="9"/>
  <c r="H119" i="9"/>
  <c r="H131" i="9"/>
  <c r="H109" i="9"/>
  <c r="H113" i="9"/>
  <c r="H117" i="9"/>
  <c r="H121" i="9"/>
  <c r="H125" i="9"/>
  <c r="H129" i="9"/>
  <c r="H133" i="9"/>
  <c r="H137" i="9"/>
  <c r="H141" i="9"/>
  <c r="H115" i="9"/>
  <c r="H127" i="9"/>
  <c r="H139" i="9"/>
  <c r="H110" i="9"/>
  <c r="H114" i="9"/>
  <c r="H118" i="9"/>
  <c r="H122" i="9"/>
  <c r="H126" i="9"/>
  <c r="H130" i="9"/>
  <c r="H134" i="9"/>
  <c r="H138" i="9"/>
  <c r="H111" i="9"/>
  <c r="H123" i="9"/>
  <c r="H135" i="9"/>
  <c r="K46" i="9"/>
  <c r="K77" i="9" s="1"/>
  <c r="K78" i="9" s="1"/>
  <c r="D48" i="12" a="1"/>
  <c r="D48" i="12" s="1"/>
  <c r="D53" i="12" s="1" a="1"/>
  <c r="D53" i="12" s="1"/>
  <c r="D40" i="12"/>
  <c r="D37" i="12" a="1"/>
  <c r="D37" i="12" s="1"/>
  <c r="D41" i="12"/>
  <c r="W29" i="17" a="1"/>
  <c r="W29" i="17" s="1"/>
  <c r="H55" i="18"/>
  <c r="H54" i="18"/>
  <c r="H53" i="18"/>
  <c r="H52" i="18"/>
  <c r="H51" i="18"/>
  <c r="H50" i="18"/>
  <c r="H49" i="18"/>
  <c r="H48" i="18"/>
  <c r="H47" i="18"/>
  <c r="H46" i="18"/>
  <c r="H45" i="18"/>
  <c r="H44" i="18"/>
  <c r="H43" i="18"/>
  <c r="H42" i="18"/>
  <c r="AX41" i="18"/>
  <c r="H41" i="18"/>
  <c r="H40" i="18"/>
  <c r="H39" i="18"/>
  <c r="H38" i="18"/>
  <c r="H37" i="18"/>
  <c r="H36" i="18"/>
  <c r="AX35" i="18"/>
  <c r="H35" i="18"/>
  <c r="H34" i="18"/>
  <c r="H33" i="18"/>
  <c r="H32" i="18"/>
  <c r="H31" i="18"/>
  <c r="AX30" i="18"/>
  <c r="H30" i="18"/>
  <c r="AX29" i="18"/>
  <c r="H29" i="18"/>
  <c r="H28" i="18"/>
  <c r="H27" i="18"/>
  <c r="H26" i="18"/>
  <c r="H25" i="18"/>
  <c r="AN35" i="18"/>
  <c r="H24" i="18"/>
  <c r="AN34" i="18"/>
  <c r="S23" i="18"/>
  <c r="H23" i="18"/>
  <c r="AZ22" i="18"/>
  <c r="S22" i="18"/>
  <c r="H22" i="18"/>
  <c r="AZ21" i="18"/>
  <c r="H21" i="18"/>
  <c r="AZ20" i="18"/>
  <c r="H20" i="18"/>
  <c r="AZ19" i="18"/>
  <c r="H19" i="18"/>
  <c r="AZ18" i="18"/>
  <c r="H18" i="18"/>
  <c r="AZ17" i="18"/>
  <c r="AP17" i="18"/>
  <c r="H17" i="18"/>
  <c r="AZ16" i="18"/>
  <c r="AP16" i="18"/>
  <c r="H16" i="18"/>
  <c r="AZ15" i="18"/>
  <c r="AP15" i="18"/>
  <c r="H15" i="18"/>
  <c r="AZ14" i="18"/>
  <c r="AP14" i="18"/>
  <c r="H14" i="18"/>
  <c r="AZ13" i="18"/>
  <c r="AP13" i="18"/>
  <c r="H13" i="18"/>
  <c r="AZ12" i="18"/>
  <c r="AP12" i="18"/>
  <c r="H12" i="18"/>
  <c r="AZ11" i="18"/>
  <c r="AP11" i="18"/>
  <c r="H11" i="18"/>
  <c r="AZ10" i="18"/>
  <c r="AP10" i="18"/>
  <c r="H10" i="18"/>
  <c r="AZ9" i="18"/>
  <c r="AP9" i="18"/>
  <c r="H9" i="18"/>
  <c r="AZ8" i="18"/>
  <c r="AP8" i="18"/>
  <c r="H8" i="18"/>
  <c r="AZ7" i="18"/>
  <c r="AP7" i="18"/>
  <c r="H7" i="18"/>
  <c r="AZ6" i="18"/>
  <c r="AP6" i="18"/>
  <c r="H6" i="18"/>
  <c r="AZ5" i="18"/>
  <c r="AP5" i="18"/>
  <c r="H5" i="18"/>
  <c r="AZ4" i="18"/>
  <c r="AP4" i="18"/>
  <c r="H4" i="18"/>
  <c r="AZ3" i="18"/>
  <c r="H3" i="18"/>
  <c r="H2" i="18"/>
  <c r="E38" i="17"/>
  <c r="AH29" i="17" a="1"/>
  <c r="AH29" i="17" s="1"/>
  <c r="M28" i="17"/>
  <c r="C28" i="17"/>
  <c r="M27" i="17"/>
  <c r="AH26" i="17"/>
  <c r="W26" i="17"/>
  <c r="AM21" i="17"/>
  <c r="AB21" i="17"/>
  <c r="Q21" i="17"/>
  <c r="G21" i="17"/>
  <c r="C11" i="17"/>
  <c r="H126" i="7" l="1"/>
  <c r="H127" i="7" s="1"/>
  <c r="H180" i="7"/>
  <c r="H153" i="7"/>
  <c r="H99" i="7"/>
  <c r="H72" i="7"/>
  <c r="H74" i="7" s="1"/>
  <c r="H75" i="7" s="1"/>
  <c r="C29" i="17" a="1"/>
  <c r="C29" i="17" s="1"/>
  <c r="K79" i="9"/>
  <c r="E36" i="17" a="1"/>
  <c r="E36" i="17" s="1"/>
  <c r="G38" i="17" s="1"/>
  <c r="H66" i="12" a="1"/>
  <c r="H66" i="12" s="1"/>
  <c r="D84" i="12" a="1"/>
  <c r="D84" i="12" s="1"/>
  <c r="K32" i="9"/>
  <c r="E70" i="12" a="1"/>
  <c r="E70" i="12" s="1"/>
  <c r="D30" i="12" a="1"/>
  <c r="D30" i="12" s="1"/>
  <c r="D44" i="12" a="1"/>
  <c r="D44" i="12" s="1"/>
  <c r="M29" i="17" a="1"/>
  <c r="M29" i="17" s="1"/>
  <c r="AX31" i="18"/>
  <c r="AX42" i="18" s="1"/>
  <c r="H73" i="7" l="1"/>
  <c r="H128" i="7"/>
  <c r="H129" i="7" s="1"/>
  <c r="D88" i="9"/>
  <c r="H263" i="7"/>
  <c r="G31" i="7" s="1"/>
  <c r="H209" i="7"/>
  <c r="G29" i="7" s="1"/>
  <c r="H317" i="7"/>
  <c r="G33" i="7" s="1"/>
  <c r="H155" i="7"/>
  <c r="G27" i="7" s="1"/>
  <c r="AX36" i="18"/>
  <c r="G24" i="7" l="1"/>
  <c r="I24" i="7" s="1"/>
  <c r="E39" i="17"/>
  <c r="E40" i="17" s="1"/>
  <c r="D89" i="9"/>
  <c r="D82" i="9" s="1"/>
  <c r="G26" i="7"/>
  <c r="I26" i="7" s="1"/>
  <c r="H154" i="7"/>
  <c r="H235" i="7"/>
  <c r="H318" i="7"/>
  <c r="I33" i="7"/>
  <c r="I32" i="7"/>
  <c r="H182" i="7"/>
  <c r="G28" i="7" s="1"/>
  <c r="H181" i="7"/>
  <c r="H210" i="7"/>
  <c r="I29" i="7"/>
  <c r="H208" i="7"/>
  <c r="I30" i="7"/>
  <c r="H264" i="7"/>
  <c r="I31" i="7"/>
  <c r="H156" i="7"/>
  <c r="I27" i="7"/>
  <c r="H316" i="7"/>
  <c r="H101" i="7"/>
  <c r="H100" i="7"/>
  <c r="G39" i="17" l="1"/>
  <c r="G40" i="17"/>
  <c r="D83" i="9"/>
  <c r="D84" i="9" s="1"/>
  <c r="G25" i="7"/>
  <c r="I25" i="7" s="1"/>
  <c r="H183" i="7"/>
  <c r="I28" i="7"/>
  <c r="H102" i="7"/>
  <c r="F50" i="4"/>
  <c r="F49" i="4"/>
  <c r="F45" i="4"/>
  <c r="F46" i="4"/>
  <c r="F47" i="4"/>
  <c r="F48" i="4"/>
  <c r="F51" i="4"/>
  <c r="F44" i="4"/>
  <c r="F79" i="4" l="1"/>
  <c r="F80" i="4" s="1"/>
  <c r="F53" i="4"/>
  <c r="F54" i="4" s="1"/>
  <c r="I40" i="4" s="1" a="1"/>
  <c r="I40" i="4" s="1"/>
  <c r="E99" i="4" l="1"/>
  <c r="E101" i="4" s="1"/>
  <c r="I65" i="4" s="1" a="1"/>
  <c r="I65" i="4" s="1"/>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72" i="16"/>
  <c r="J70" i="16"/>
  <c r="J71" i="16"/>
  <c r="F39" i="10" l="1"/>
  <c r="F40" i="10" s="1"/>
  <c r="E4" i="14" l="1"/>
  <c r="D4" i="14"/>
  <c r="F4" i="14" l="1"/>
  <c r="D8" i="15" l="1"/>
  <c r="C8" i="15"/>
  <c r="D18" i="14"/>
  <c r="E18" i="14"/>
  <c r="E9" i="14"/>
  <c r="D9" i="14"/>
  <c r="D17" i="13"/>
  <c r="C17" i="13"/>
  <c r="D13" i="13"/>
  <c r="C9" i="13"/>
  <c r="D9" i="13"/>
  <c r="D4" i="13"/>
  <c r="C4" i="13"/>
  <c r="F4" i="15" l="1"/>
  <c r="H4" i="15" s="1"/>
  <c r="F8" i="15"/>
  <c r="H8" i="15" s="1"/>
  <c r="F18" i="14"/>
  <c r="F9" i="14"/>
  <c r="E17" i="13"/>
  <c r="E9" i="13"/>
  <c r="E4" i="13"/>
  <c r="D21" i="13"/>
  <c r="F22" i="14" l="1"/>
  <c r="C13" i="13"/>
  <c r="E13" i="13" s="1"/>
  <c r="C21" i="13" l="1"/>
  <c r="E21" i="13" s="1"/>
  <c r="K43" i="10"/>
  <c r="C20"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tc={378576E3-5D01-4F35-B13A-8022D547C2C3}</author>
    <author>tc={EC033E50-BD8C-4396-A1CD-9DC33B99B0E4}</author>
    <author>tc={8DECE626-6E91-472F-A5ED-05A5AF5FA714}</author>
  </authors>
  <commentList>
    <comment ref="AX29" authorId="0" shapeId="0" xr:uid="{378576E3-5D01-4F35-B13A-8022D547C2C3}">
      <text>
        <t>[Threaded comment]
Your version of Excel allows you to read this threaded comment; however, any edits to it will get removed if the file is opened in a newer version of Excel. Learn more: https://go.microsoft.com/fwlink/?linkid=870924
Comment:
    Automatico de tabla A.2 anexo 2</t>
      </text>
    </comment>
    <comment ref="AX36" authorId="1" shapeId="0" xr:uid="{EC033E50-BD8C-4396-A1CD-9DC33B99B0E4}">
      <text>
        <t>[Threaded comment]
Your version of Excel allows you to read this threaded comment; however, any edits to it will get removed if the file is opened in a newer version of Excel. Learn more: https://go.microsoft.com/fwlink/?linkid=870924
Comment:
    validar con formula 1
Reply:
    hecho</t>
      </text>
    </comment>
    <comment ref="AX42" authorId="2" shapeId="0" xr:uid="{8DECE626-6E91-472F-A5ED-05A5AF5FA714}">
      <text>
        <t>[Threaded comment]
Your version of Excel allows you to read this threaded comment; however, any edits to it will get removed if the file is opened in a newer version of Excel. Learn more: https://go.microsoft.com/fwlink/?linkid=870924
Comment:
    validar con formula 1
Reply:
    hecho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Huincahue, Fabiana</author>
  </authors>
  <commentList>
    <comment ref="G14" authorId="0" shapeId="0" xr:uid="{B32150F3-5B21-47C0-A3F9-2C392465C453}">
      <text>
        <r>
          <rPr>
            <b/>
            <sz val="9"/>
            <color indexed="81"/>
            <rFont val="Tahoma"/>
            <family val="2"/>
          </rPr>
          <t xml:space="preserve">Huincahue, Fabiana;
Cerlda muy larga.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<sst xmlns="http://schemas.openxmlformats.org/spreadsheetml/2006/main" count="3043" uniqueCount="1269">
  <si>
    <t>INTRODUCCIÓN</t>
  </si>
  <si>
    <r>
      <t xml:space="preserve">Esta Ficha Minergie sirve de complemento para la verificación y justificación de ciertos requisitos de la certificación Minergie, a través de cálculos simples.
-Cada pestaña corresponde a un requisito específico y contiene la metodología de cálculo para la verificación.
-Las celdas en color gris claro, pueden ser llenadas con información de parte del Experto/a Minergie o contienen listas desplegables donde se tiene que seleccionar un elemento.
</t>
    </r>
    <r>
      <rPr>
        <i/>
        <sz val="10"/>
        <color theme="0"/>
        <rFont val="Arial"/>
        <family val="2"/>
      </rPr>
      <t>Fecha de última edición de esta Ficha Minergie: Febrero 2025
Versión válida del reglamento: 2025.1
Versión válida de la guía de aplicación: 2025.1
Versión de ficha: V5</t>
    </r>
  </si>
  <si>
    <t>A1</t>
  </si>
  <si>
    <t>Datos del proyecto</t>
  </si>
  <si>
    <t>Zonas Chile: Todas</t>
  </si>
  <si>
    <t>Zona ASHRAE: Todas</t>
  </si>
  <si>
    <t>m2</t>
  </si>
  <si>
    <t>Tipo de acción</t>
  </si>
  <si>
    <t>Superficie acondicionada</t>
  </si>
  <si>
    <t>llenar</t>
  </si>
  <si>
    <r>
      <rPr>
        <b/>
        <sz val="10"/>
        <color theme="0"/>
        <rFont val="Arial"/>
        <family val="2"/>
      </rPr>
      <t>Superficie acondicionada:</t>
    </r>
    <r>
      <rPr>
        <sz val="10"/>
        <color theme="0"/>
        <rFont val="Arial"/>
        <family val="2"/>
      </rPr>
      <t xml:space="preserve"> Superficie delimitada por el perímetro de aislamiento, compuesta por recintos normalmente utilizados por los usuarios y que considera sistemas de calefacción o refrigeración, y/o que de forma pasiva se mantenga la temperatura dentro del rango de confort térmico. La superficie se mide en bruto, por lo que incluye secciones transversales de muros y pozos.</t>
    </r>
  </si>
  <si>
    <t>Tipo de recinto</t>
  </si>
  <si>
    <t>seleccionar</t>
  </si>
  <si>
    <t>A2</t>
  </si>
  <si>
    <t>Aislamiento térmico de la envolvente</t>
  </si>
  <si>
    <t>Tabla A2.1</t>
  </si>
  <si>
    <t>TRAANSMITANCIAS TÉRMICAS PERMITIDAS</t>
  </si>
  <si>
    <t>Componente</t>
  </si>
  <si>
    <t>Valor U (W/m2°k)</t>
  </si>
  <si>
    <t>Zona térmica</t>
  </si>
  <si>
    <t>De separación con espacio expeterior o local abierto</t>
  </si>
  <si>
    <t>De separación con otro local, desván o cámara de aire</t>
  </si>
  <si>
    <t>Muro 1</t>
  </si>
  <si>
    <t>Techumbre Ligera</t>
  </si>
  <si>
    <t>Techumbe Sólida</t>
  </si>
  <si>
    <t>Muro Ligero</t>
  </si>
  <si>
    <t>Muro Sólido</t>
  </si>
  <si>
    <t>Piso Ligero</t>
  </si>
  <si>
    <t>Piso Sólido</t>
  </si>
  <si>
    <t>Ventana</t>
  </si>
  <si>
    <t>Puerta</t>
  </si>
  <si>
    <t>Muro 2</t>
  </si>
  <si>
    <t>A Norte Literal</t>
  </si>
  <si>
    <t>Muro 3</t>
  </si>
  <si>
    <t>B Norte inferior</t>
  </si>
  <si>
    <t>Muro 4</t>
  </si>
  <si>
    <t>C Central Literal</t>
  </si>
  <si>
    <t>Muro 5</t>
  </si>
  <si>
    <t>D Central Interior</t>
  </si>
  <si>
    <t>Techumbre 1</t>
  </si>
  <si>
    <t>E Sur litoral</t>
  </si>
  <si>
    <t>Techumbre 2</t>
  </si>
  <si>
    <t>F Sur interior</t>
  </si>
  <si>
    <t>Techumbre 3</t>
  </si>
  <si>
    <t>G Sur</t>
  </si>
  <si>
    <t>Piso 1</t>
  </si>
  <si>
    <t>H Andina</t>
  </si>
  <si>
    <t>Piso 2</t>
  </si>
  <si>
    <t>I Extremo Sur</t>
  </si>
  <si>
    <t>Piso 3</t>
  </si>
  <si>
    <t>Ventana 1</t>
  </si>
  <si>
    <t xml:space="preserve">RESISTENCIAS TÉRMICAS DE SUPERFICIE </t>
  </si>
  <si>
    <t>Ventana 2</t>
  </si>
  <si>
    <t>Rsi</t>
  </si>
  <si>
    <t>Ventana 3</t>
  </si>
  <si>
    <t>Rse</t>
  </si>
  <si>
    <t>Puerta 1</t>
  </si>
  <si>
    <t>Puerta 2</t>
  </si>
  <si>
    <t>Las siguientes alternativas de cálculo se ponen a disposición en caso que el/la Experto/a lo requiera para llenar los datos de la "Tabla A2.1" de declaración de Valores U</t>
  </si>
  <si>
    <t>Alternativa 1. Cálculo de valor U: Sistema constructivo sólido.</t>
  </si>
  <si>
    <t>Elementos de construcción sólida:</t>
  </si>
  <si>
    <t>-     Muro de hormigón armado (mínimo 10 cm de espesor)</t>
  </si>
  <si>
    <t>-     Muro de albañilería (mínimo 20 cm de espesor)</t>
  </si>
  <si>
    <t>-     Muro de adobe (mínimo 17 cm de espesor)</t>
  </si>
  <si>
    <t>Situación</t>
  </si>
  <si>
    <t>TRANSMITACIA MAXIMA</t>
  </si>
  <si>
    <t>Elemento</t>
  </si>
  <si>
    <t>EVALUACION</t>
  </si>
  <si>
    <t xml:space="preserve">Zona térmica </t>
  </si>
  <si>
    <t>Material</t>
  </si>
  <si>
    <t>Espesor 
(m)</t>
  </si>
  <si>
    <t>Densidad
(kg/m3)</t>
  </si>
  <si>
    <t>Conductividad (W/m°K)</t>
  </si>
  <si>
    <t>Resistencia (m2°K/W)</t>
  </si>
  <si>
    <t>En Chile se deben utilizar las resistencias superficiales de la tabla N°2 de la Norma Chilena NCh 853Of.2007 (basada en la norma internacional ISO 6946) "Resistencia superficial por elementos verticales y horizontales" según el caso que corresponda.
Para el caso países LATAM, es posible usar los mismos que la norma chilena basada en la norma internacional, o bien basarse en lo dado por las normativas respectivas del país.</t>
  </si>
  <si>
    <t>Resistencia superficie interior</t>
  </si>
  <si>
    <t>Hormigón</t>
  </si>
  <si>
    <t>eps</t>
  </si>
  <si>
    <t>Resistencia superficie exterior</t>
  </si>
  <si>
    <t>Resistencia Térmica (m2°K/W)</t>
  </si>
  <si>
    <t>Transmitancia Térmica U (W/m2°K)</t>
  </si>
  <si>
    <t>Alternativa 2. Cálculo de valor U: Sistema constructivo mixto o ligero (2 o más secciones).</t>
  </si>
  <si>
    <t>Elementos de construcción ligera:</t>
  </si>
  <si>
    <t>-     Muro de madera contralaminada “CLT” (con menos de 27 cm de espesor)</t>
  </si>
  <si>
    <t>-     Sistema constructivo con base a marcos de madera (tabiquería de madera)</t>
  </si>
  <si>
    <t>-     Sistema constructivo con base a marcos metálicos (tabiquería metálica)</t>
  </si>
  <si>
    <t>SECCIÓN 1</t>
  </si>
  <si>
    <t>Transmitancia Térmica sección 1 U (W/m2°K)</t>
  </si>
  <si>
    <t>SECCIÓN 2</t>
  </si>
  <si>
    <t>Transmitancia Térmica sección 2 (W/m2°K)</t>
  </si>
  <si>
    <t>PONDERACIÓN VALORES U</t>
  </si>
  <si>
    <t>Sección</t>
  </si>
  <si>
    <t>Porcentaje en la superficie (%)</t>
  </si>
  <si>
    <t>Valor U ponderado</t>
  </si>
  <si>
    <t>Valor U Sección 1</t>
  </si>
  <si>
    <t>Valor U Sección 2</t>
  </si>
  <si>
    <t>Transmitancia Térmica Total U (W/m2°K)</t>
  </si>
  <si>
    <t>Evaluación U</t>
  </si>
  <si>
    <t>Contra espacios no acondicionados y terreno</t>
  </si>
  <si>
    <t>Sólido</t>
  </si>
  <si>
    <t>REQUERIMIENTO TRANSMITANCIA TÉRMICA PARA CHILE</t>
  </si>
  <si>
    <t>OTROS PAÍSES DE LATAM</t>
  </si>
  <si>
    <t>Contra clima exterior</t>
  </si>
  <si>
    <t>Ligero</t>
  </si>
  <si>
    <t>Ventanas y puertas</t>
  </si>
  <si>
    <t>Techumbre
Ligera</t>
  </si>
  <si>
    <t>Techumbe sólida</t>
  </si>
  <si>
    <t>Muros y pisos
Ligero</t>
  </si>
  <si>
    <t>Muros y pisos
Sólido</t>
  </si>
  <si>
    <t>Muros ligeros</t>
  </si>
  <si>
    <t>Muros sólidos</t>
  </si>
  <si>
    <t>Pisos</t>
  </si>
  <si>
    <t>Puertas</t>
  </si>
  <si>
    <t>TECHO, MURO, PISO</t>
  </si>
  <si>
    <t>Exterior o en contacto con desván o cámara de aire</t>
  </si>
  <si>
    <t>Tipo (ligero o sólido)</t>
  </si>
  <si>
    <t>Evaluación opcional automatizada solo aplica para requerimiento de transmitancia térmica en Chile. Completar Zona térmica, situación de elemento y tipo (ligero o sólido)</t>
  </si>
  <si>
    <t>LÍMITE TRANSMITANCIA TÉRMICA CHILE</t>
  </si>
  <si>
    <t>Transmitanica  U  proyecto (W/m2°K)</t>
  </si>
  <si>
    <t>Transmitanica  U  máxima (W/m2°K)</t>
  </si>
  <si>
    <t>Requisito A2</t>
  </si>
  <si>
    <t>Requisito A3
Opción simple</t>
  </si>
  <si>
    <t>Techumbre Sólida</t>
  </si>
  <si>
    <t>Puerta 3</t>
  </si>
  <si>
    <t>Evaluación de Transmitancia térmica</t>
  </si>
  <si>
    <t>Transmitanica máxima (U)</t>
  </si>
  <si>
    <t>Evaluación U proyecto</t>
  </si>
  <si>
    <r>
      <t xml:space="preserve">El cálculo de transmitancia térmica está basado de acuerdo a lo indicado en la  NCh 853OF.2007, donde se indica que el valor de la transmitancia termica como:
Para la evaluación del cálculo, se deben seguir las siguientes indicaciones:
1) Elegir la situación del elemento (exterior o en contacto con esp. no acondicionado)
2) Elegir el tipo de elemento (muro, techo, piso)
3) Elegir zona térmica donde se encuentra emplazado
Las  "Resistencia superficial por elementos verticales y horizontales" se establecen de forma automatica de acuerdo a la </t>
    </r>
    <r>
      <rPr>
        <b/>
        <sz val="10"/>
        <color theme="0"/>
        <rFont val="Arial"/>
        <family val="2"/>
      </rPr>
      <t>selección de la situación en la cual se encuentra el elemento a evaluar.</t>
    </r>
  </si>
  <si>
    <t>Apartado para otros cálculos de valor U</t>
  </si>
  <si>
    <t>Zonas México: Todas</t>
  </si>
  <si>
    <t>Zona climática</t>
  </si>
  <si>
    <t>Lugar con GDC &lt; 1000 y GDR &lt; 3000</t>
  </si>
  <si>
    <t>Edificación dispone de calefacción o refrigeración?</t>
  </si>
  <si>
    <t>LÍMITES TRANSMITANCIA TÉRMICA  PARA EL PROYECTO (W/m2°K)</t>
  </si>
  <si>
    <t xml:space="preserve">LÍMITE TRANSMITANCIA TÉRMICA </t>
  </si>
  <si>
    <t>acondicionado</t>
  </si>
  <si>
    <t>Zona  climática</t>
  </si>
  <si>
    <t>clima_optimo</t>
  </si>
  <si>
    <t>Sí</t>
  </si>
  <si>
    <t>No</t>
  </si>
  <si>
    <r>
      <t xml:space="preserve">Ventana en fachada con </t>
    </r>
    <r>
      <rPr>
        <b/>
        <sz val="10"/>
        <color theme="1"/>
        <rFont val="Aptos Narrow"/>
        <family val="2"/>
      </rPr>
      <t>≤</t>
    </r>
    <r>
      <rPr>
        <b/>
        <sz val="10"/>
        <color theme="1"/>
        <rFont val="Arial"/>
        <family val="2"/>
      </rPr>
      <t xml:space="preserve"> 40% de acristalamiento</t>
    </r>
  </si>
  <si>
    <t>Ventana en fachada con &gt; 40% de acristalamiento</t>
  </si>
  <si>
    <t>LISTA</t>
  </si>
  <si>
    <t>-</t>
  </si>
  <si>
    <t>non_acondicionado</t>
  </si>
  <si>
    <t>Muro 6</t>
  </si>
  <si>
    <r>
      <t xml:space="preserve">El cálculo de transmitancia térmica está basado de acuerdo a lo indicado en la  ISO 6946, donde se indica que el valor de la transmitancia termica como:
Para la evaluación del cálculo, se deben seguir las siguientes indicaciones:
1) Elegir la situación del elemento (exterior o en contacto con esp. no acondicionado)
2) Elegir el tipo de elemento (muro, techo, piso)
3) Elegir zona térmica donde se encuentra emplazado
Las  "Resistencia superficial por elementos verticales y horizontales" se establecen de forma automatica de acuerdo a la </t>
    </r>
    <r>
      <rPr>
        <b/>
        <sz val="10"/>
        <color theme="0"/>
        <rFont val="Arial"/>
        <family val="2"/>
      </rPr>
      <t>selección de la situación en la cual se encuentra el elemento a evaluar.</t>
    </r>
  </si>
  <si>
    <t>A3</t>
  </si>
  <si>
    <t>Reducción de puentes térmicos y hermeticidad</t>
  </si>
  <si>
    <t>Zonas Chile: C, D, E, F, G, H y I</t>
  </si>
  <si>
    <t>Zonas ASHRAE: 4, 5, 6 y 7</t>
  </si>
  <si>
    <t>Alternativa 1 Mejora de valor U en todas las componentes (Opción Simple)</t>
  </si>
  <si>
    <r>
      <t xml:space="preserve">Si las celdas I7 - I23 de la hoja </t>
    </r>
    <r>
      <rPr>
        <i/>
        <sz val="10"/>
        <color theme="0"/>
        <rFont val="Arial"/>
        <family val="2"/>
      </rPr>
      <t>A2 (CHI)</t>
    </r>
    <r>
      <rPr>
        <sz val="10"/>
        <color theme="0"/>
        <rFont val="Arial"/>
        <family val="2"/>
      </rPr>
      <t xml:space="preserve"> o </t>
    </r>
    <r>
      <rPr>
        <i/>
        <sz val="10"/>
        <color theme="0"/>
        <rFont val="Arial"/>
        <family val="2"/>
      </rPr>
      <t>A2 (MEX-LATAM)</t>
    </r>
    <r>
      <rPr>
        <sz val="10"/>
        <color theme="0"/>
        <rFont val="Arial"/>
        <family val="2"/>
      </rPr>
      <t xml:space="preserve"> muestran "Cumple", el requisito A3 está cumplido. No es necesario aportar ninguna otra justificación. Si no, utilice la opción detallada.</t>
    </r>
  </si>
  <si>
    <t>Alternativa 2 Cálculo de valor U para compensar (Opción detallada)</t>
  </si>
  <si>
    <t>N° Puente según Guía</t>
  </si>
  <si>
    <t>Indicar N° según Guía Minergie</t>
  </si>
  <si>
    <t>Puente térmico lineal (Psi)</t>
  </si>
  <si>
    <t>W/mK</t>
  </si>
  <si>
    <t xml:space="preserve">Declarar Psi según ejemplos de la Guía de Aplicación Minergie </t>
  </si>
  <si>
    <t xml:space="preserve">Se puede detallar el puente térmico puntual con su medida y compensarlo por otro elemento de la envolvente que se pueda aumentar el espesor de aislación térmica.
El límite para valor U del elemento a compensar varia en relación con la superficie destinada y el flujo de calor del puente térmico. </t>
  </si>
  <si>
    <t>Largo del puente térmico</t>
  </si>
  <si>
    <t>m</t>
  </si>
  <si>
    <t>Flujo de calor</t>
  </si>
  <si>
    <t>W/K</t>
  </si>
  <si>
    <t>Elemento de compensación</t>
  </si>
  <si>
    <t>Se refiere alguna componente (techumbre, muro, piso ventilado).</t>
  </si>
  <si>
    <t>Superficie de la componente a remediar</t>
  </si>
  <si>
    <r>
      <t>m</t>
    </r>
    <r>
      <rPr>
        <vertAlign val="superscript"/>
        <sz val="10"/>
        <color theme="1"/>
        <rFont val="Arial"/>
        <family val="2"/>
      </rPr>
      <t>2</t>
    </r>
  </si>
  <si>
    <t>Se refiere a la superficie del componente que pueda mejorar su valor U en la edificación.</t>
  </si>
  <si>
    <t>Valor U requerimiento A2 para el tipo de componente</t>
  </si>
  <si>
    <r>
      <t>W/m</t>
    </r>
    <r>
      <rPr>
        <vertAlign val="superscript"/>
        <sz val="10"/>
        <color theme="1"/>
        <rFont val="Arial"/>
        <family val="2"/>
      </rPr>
      <t>2</t>
    </r>
    <r>
      <rPr>
        <sz val="10"/>
        <color theme="1"/>
        <rFont val="Arial"/>
        <family val="2"/>
      </rPr>
      <t>K</t>
    </r>
  </si>
  <si>
    <t>Es el límite de valor U según la zona climática de la tabla 1 o 2 para el elemento de la envolvente escogido para compensar.</t>
  </si>
  <si>
    <t>Valor U mínimo de la componente de compensación</t>
  </si>
  <si>
    <t>W/m2K</t>
  </si>
  <si>
    <t>Nuevo límite que se debe cumplir para el elemento que compensa el puente térmico.</t>
  </si>
  <si>
    <t>Valor U final de la componente de compensación</t>
  </si>
  <si>
    <t>Valor U final del elemento o componente de compensación.</t>
  </si>
  <si>
    <t>Evaluación</t>
  </si>
  <si>
    <t>A4</t>
  </si>
  <si>
    <t>Aprovechamiento térmico de la radiación solar</t>
  </si>
  <si>
    <t>Zonas ASHRAE: Todas menos 0A, 1A, 2A</t>
  </si>
  <si>
    <t>Tipo de estructura principal</t>
  </si>
  <si>
    <t>Capacidad de almacenamiento de calor de paquetes constructivos</t>
  </si>
  <si>
    <t>Recintos Habitable</t>
  </si>
  <si>
    <t>Ventanas</t>
  </si>
  <si>
    <r>
      <rPr>
        <b/>
        <u/>
        <sz val="10"/>
        <color theme="0"/>
        <rFont val="Arial"/>
        <family val="2"/>
      </rPr>
      <t>Biblioteca personal:</t>
    </r>
    <r>
      <rPr>
        <sz val="10"/>
        <color theme="0"/>
        <rFont val="Arial"/>
        <family val="2"/>
      </rPr>
      <t xml:space="preserve">
Es posible ingresar un tipo de material pesado que no se encuentre en la lista desplegable. La justificación que demuestre la clasificación del material debe ingresarse en la casilla de ingreso de documentos del requerimiento A4</t>
    </r>
  </si>
  <si>
    <t>Instrucciones</t>
  </si>
  <si>
    <t>Nombre</t>
  </si>
  <si>
    <t>Superficie Muros tipo 1 exteriores sin ventanas [m2]</t>
  </si>
  <si>
    <t>Superficie Muros tipo 2 exteriores sin ventanas [m2]</t>
  </si>
  <si>
    <t>Superficie particiones interiores [m2]</t>
  </si>
  <si>
    <t>m2
Ventanas</t>
  </si>
  <si>
    <t>m2
Puertas exteriores</t>
  </si>
  <si>
    <t>m2
Puertas interiores</t>
  </si>
  <si>
    <t>Total superficie Ventanas y puertas exteriores [m2]</t>
  </si>
  <si>
    <r>
      <t xml:space="preserve">Completar información de entrada de acuerdo al proyecto y </t>
    </r>
    <r>
      <rPr>
        <u/>
        <sz val="10"/>
        <color theme="0"/>
        <rFont val="Arial"/>
        <family val="2"/>
      </rPr>
      <t>para cada recinto o agrupación a evaluar:</t>
    </r>
    <r>
      <rPr>
        <sz val="10"/>
        <color theme="0"/>
        <rFont val="Arial"/>
        <family val="2"/>
      </rPr>
      <t xml:space="preserve">
1 - Superficie muros exteriores: equivale a la superficie de la envolvente térmica sin descontar la superficie de ventanas.
2 - Superficie particiones interiores: equivale a la superficie de los muros interiores.
3 - Superficie de ventanas: Ingresar la superficie de ventanas (vano que incluye vidrios y marcos).
4 - Superficie de puertas interiores: Ingresar la superficie de puertas de particiones interiores (vano que incluye puerta y marco)
5 - Superficie de puertas exteriores: Ingresar la superficie de puertas exteriores que son parte de la envolvente térmica (vano que incluye puerta y marco).</t>
    </r>
  </si>
  <si>
    <t>Biblioteca Personal</t>
  </si>
  <si>
    <t>Capacidad Calorifica [kJ/m2/K]</t>
  </si>
  <si>
    <t>Resumen recintos</t>
  </si>
  <si>
    <t>KJ/m2K</t>
  </si>
  <si>
    <t>Requerimiento  Minergie KJ/m2K</t>
  </si>
  <si>
    <t>El cálculo detallado de cada recinto o agrupación se realiza a continuación:</t>
  </si>
  <si>
    <t>Datos de entrada:</t>
  </si>
  <si>
    <t>Recinto</t>
  </si>
  <si>
    <t>m2 superficie acondicionada</t>
  </si>
  <si>
    <t>6. Desplegar el menu del nombre de recinto, ingresado en la Tabla 1  de entrada</t>
  </si>
  <si>
    <t>Largo del espacio</t>
  </si>
  <si>
    <t>Tabiquería 
interior</t>
  </si>
  <si>
    <t>Ancho del espacio</t>
  </si>
  <si>
    <t>Altura del espacio</t>
  </si>
  <si>
    <t>Superficie de ventanas / puertas</t>
  </si>
  <si>
    <t>Superficie  brutto/netto</t>
  </si>
  <si>
    <t>7. Ingresar la superficie útil acondicionada del recinto</t>
  </si>
  <si>
    <t>Biblioteca</t>
  </si>
  <si>
    <t xml:space="preserve">Paquete Constructivo </t>
  </si>
  <si>
    <t>Capacidad calorífica [kJ/m2/K]</t>
  </si>
  <si>
    <t>CEATI Piso</t>
  </si>
  <si>
    <t>kJ/m2/K</t>
  </si>
  <si>
    <t>CEATI Cielo</t>
  </si>
  <si>
    <t>CEATI Muros envolvente tipo 1</t>
  </si>
  <si>
    <t>CEATI Muros envolvente tipo 2</t>
  </si>
  <si>
    <t>CEATI Particiones interiores</t>
  </si>
  <si>
    <t xml:space="preserve"> CEATI=Capacidad efectiva de almacenamiento térmico en cara interior de muros </t>
  </si>
  <si>
    <t>Resultados intermedios:</t>
  </si>
  <si>
    <t>Piso</t>
  </si>
  <si>
    <t>Valor tomado de la superficie útil del recinto</t>
  </si>
  <si>
    <t>Cielo</t>
  </si>
  <si>
    <t>Muros tipo 1 exteriores sin ventanas</t>
  </si>
  <si>
    <t>Valor tomado de Tabla 1, donde se descuenta de la envolvente térmica la superficie de ventanas y puertas exteriores</t>
  </si>
  <si>
    <t>Muros tipo 2 exteriores sin ventanas</t>
  </si>
  <si>
    <t>Particiones interiores</t>
  </si>
  <si>
    <t>Valor tomado de la Tabla 1</t>
  </si>
  <si>
    <t>Superficie área acondicionada (AAC)</t>
  </si>
  <si>
    <t>Total de superficie opaca</t>
  </si>
  <si>
    <t>Sumatoria de superficies correspondiente a los elementos de piso, cielo, muros exteriores sin ventanas y particiones interiores</t>
  </si>
  <si>
    <t>Resultados:</t>
  </si>
  <si>
    <t>Masa de almacenamiento total</t>
  </si>
  <si>
    <t>kJ/K</t>
  </si>
  <si>
    <t>Promedio de CEATI</t>
  </si>
  <si>
    <t>Capacidad de almacenamiento calorífico</t>
  </si>
  <si>
    <t>Wh/m2</t>
  </si>
  <si>
    <r>
      <t>Muros</t>
    </r>
    <r>
      <rPr>
        <sz val="10"/>
        <color rgb="FFFF0000"/>
        <rFont val="Arial"/>
        <family val="2"/>
      </rPr>
      <t xml:space="preserve"> tipo 1 </t>
    </r>
    <r>
      <rPr>
        <sz val="10"/>
        <color theme="1"/>
        <rFont val="Arial"/>
        <family val="2"/>
      </rPr>
      <t>exteriores sin ventanas</t>
    </r>
  </si>
  <si>
    <r>
      <t>Muros</t>
    </r>
    <r>
      <rPr>
        <sz val="10"/>
        <color rgb="FFFF0000"/>
        <rFont val="Arial"/>
        <family val="2"/>
      </rPr>
      <t xml:space="preserve"> tipo 2 </t>
    </r>
    <r>
      <rPr>
        <sz val="10"/>
        <color theme="1"/>
        <rFont val="Arial"/>
        <family val="2"/>
      </rPr>
      <t>exteriores sin ventanas</t>
    </r>
  </si>
  <si>
    <t>Biblioteca.Personal.Paquetes</t>
  </si>
  <si>
    <t>Prueba de biblioteca 23.10.24</t>
  </si>
  <si>
    <t>A4.a</t>
  </si>
  <si>
    <t>Aprovechamiento de la luz natural (C. Educativos)</t>
  </si>
  <si>
    <t>Según Opción 1: Simulación de iluminación natural en Software</t>
  </si>
  <si>
    <t>Software usado o método</t>
  </si>
  <si>
    <r>
      <rPr>
        <b/>
        <sz val="10"/>
        <color rgb="FFFFFFFF"/>
        <rFont val="Arial"/>
      </rPr>
      <t xml:space="preserve">Opción 1
</t>
    </r>
    <r>
      <rPr>
        <sz val="10"/>
        <color rgb="FFFFFFFF"/>
        <rFont val="Arial"/>
      </rPr>
      <t>Indicar el tipo de software elegido para simulación de iluminación natural, donde se podrá optar por alguno de los dos parametros  "Factor luz  día" o "Autonomía de luz día".
Indicar por recinto los valores de acuerdo a los parametros elegidos.
Se evaluará de acuerdo a los siguientes limites, referenciales de "Terminos de Referencia para Edificaciones Públicas" del Ministerio de Obras Públicas de Chile
La columna G evalua en función de la indicación de la columna "D" donde se si se indica "No" tomará por defecto el valor de la columna E. Por lo tanto, se evalua una de las dos opciones para cada recinto.</t>
    </r>
  </si>
  <si>
    <t>Autonomía de luz</t>
  </si>
  <si>
    <t>Factor luz día</t>
  </si>
  <si>
    <t>Indicar valor si aplica parámetro (%)</t>
  </si>
  <si>
    <t>Indicar (Si/No) si usa parámetro</t>
  </si>
  <si>
    <t>Sala 1</t>
  </si>
  <si>
    <t>Si</t>
  </si>
  <si>
    <t>Sala 2</t>
  </si>
  <si>
    <t>Sala 3</t>
  </si>
  <si>
    <t>Sala 4</t>
  </si>
  <si>
    <t>Sala 5</t>
  </si>
  <si>
    <t>Sala 6</t>
  </si>
  <si>
    <t>Sala 7</t>
  </si>
  <si>
    <t>Sala 8</t>
  </si>
  <si>
    <t>Sala 9</t>
  </si>
  <si>
    <t>Sala 10</t>
  </si>
  <si>
    <t>Sala 11</t>
  </si>
  <si>
    <t>Sala 12</t>
  </si>
  <si>
    <t>Sala 13</t>
  </si>
  <si>
    <t>Sala 14</t>
  </si>
  <si>
    <t>Sala 15</t>
  </si>
  <si>
    <t>Sala 16</t>
  </si>
  <si>
    <t>Sala 17</t>
  </si>
  <si>
    <t>Sala 18</t>
  </si>
  <si>
    <t>Sala 19</t>
  </si>
  <si>
    <t>Sala 20</t>
  </si>
  <si>
    <t>Según Opción 2: Mantenerse bajo los rangos recomendados por el Manual de Diseño pasivo y Eficiencia energética en Edificios públicos (Tabla 5.2)</t>
  </si>
  <si>
    <t>Profundidad de la habitación desde la pared exterior (m)</t>
  </si>
  <si>
    <t>Área pared exterior (m2)</t>
  </si>
  <si>
    <t>Área de ventana/s en pared exterior (m2)</t>
  </si>
  <si>
    <t>Porcentaje que representa la ventana en la pared</t>
  </si>
  <si>
    <t>Cumplimiento</t>
  </si>
  <si>
    <r>
      <rPr>
        <b/>
        <sz val="10"/>
        <color rgb="FFFFFFFF"/>
        <rFont val="Arial"/>
      </rPr>
      <t xml:space="preserve">Opción 2
</t>
    </r>
    <r>
      <rPr>
        <sz val="10"/>
        <color rgb="FFFFFFFF"/>
        <rFont val="Arial"/>
      </rPr>
      <t>- En la tabla se establece que si la profundidad (d) de la sala es menor a 8 m el porcentaje de ventanas debe ser mayor a 20%, si d es entre 8 y 11 m debe tener al menos un 25% de ventanas, si d esta entre 11 y 14 m debe tener un 30% de ventana mínimo y si d es mayor a 14 m la pared debe tener al menos un 35% de porcentaje vidriado.
- El área de pared exterior se mide desde el interior del recinto
- Los recintos a evaluar deben ser los más representativos por fachada (casos más y menos favorables)</t>
    </r>
  </si>
  <si>
    <t>Según Opción 3: Revisar alcance de la luz según regla básica de profundidad d</t>
  </si>
  <si>
    <t>Estrategias de diseño para aumentar el rango de iluminación</t>
  </si>
  <si>
    <t>Si el recinto tiene iluminación unilateral, se establece un límite en la profundidad de su planta para permitir alcanzar una iluminación adecuada durante el día. 
Para determinar este límite se sigue una regla básica de proporciones, explicada en la Figura 5.27 del Manual de Diseño pasivo y Eficiencia energética en Edificios públicos de Chile. Esta consiste en una estrategia de diseño que aumenta la iluminación hacia el fondo del recinto, aumentando la profundidad de la luz natural 1,5 veces la altura de la ventana en relación al suelo, donde si se incorpora en la ventana una repisa de luz (light shelf) la profundidad de luz puede aumentar hasta 2 veces la altura de la ventana.
En resumen, mientras más alta esta la ventana, más profundo en el recinto llega la iluminación, lo que aumenta si se le agregan repisas de luz.</t>
  </si>
  <si>
    <t>Se debe justificar con cortes de los recintos representativos, siguiendo el ejemplo de la Figura a continuación.</t>
  </si>
  <si>
    <t>A5</t>
  </si>
  <si>
    <t>Protección solar exterior de las ventanas</t>
  </si>
  <si>
    <t>Zonas Chile: A, B, C y D.</t>
  </si>
  <si>
    <t>Zonas ASHRAE: 0, 1, 2 y 3.</t>
  </si>
  <si>
    <t>CRISTAL</t>
  </si>
  <si>
    <t>Descripción</t>
  </si>
  <si>
    <t xml:space="preserve">Información extraída desde la ficha técnica de la ventana obtenida por el proveedor. </t>
  </si>
  <si>
    <r>
      <t>U</t>
    </r>
    <r>
      <rPr>
        <sz val="8"/>
        <rFont val="Arial"/>
        <family val="2"/>
      </rPr>
      <t>g</t>
    </r>
  </si>
  <si>
    <t>Transmitancia térmica acristalamiento (W/m2K)</t>
  </si>
  <si>
    <t>SHGC o FS</t>
  </si>
  <si>
    <t>Factor de transmitancia de la energía solar cristal</t>
  </si>
  <si>
    <t>T. Luz</t>
  </si>
  <si>
    <t>Transmisión de luz visible %</t>
  </si>
  <si>
    <t xml:space="preserve">MARCO </t>
  </si>
  <si>
    <t xml:space="preserve">Información extraída desde la ficha técnica del marco obtenida por el proveedor. (Se puede utilizar la transmitancia térmica del marco desde un manual local justificando su uso).  </t>
  </si>
  <si>
    <t>Fm</t>
  </si>
  <si>
    <t>Porcentaje en ventana según fachada evaluada</t>
  </si>
  <si>
    <r>
      <t>U</t>
    </r>
    <r>
      <rPr>
        <sz val="8"/>
        <rFont val="Arial"/>
        <family val="2"/>
      </rPr>
      <t>m</t>
    </r>
  </si>
  <si>
    <t>Transmitancia térmica marco (W/m2K)</t>
  </si>
  <si>
    <t>Absortividad</t>
  </si>
  <si>
    <t>Color</t>
  </si>
  <si>
    <t>PERSIANA (exterior o interior)</t>
  </si>
  <si>
    <t>Se consideran las persianas, según las características de translucidez que indique el proveedor.</t>
  </si>
  <si>
    <t>TRANSPARENCIA</t>
  </si>
  <si>
    <t>COLOR</t>
  </si>
  <si>
    <t>PROTECCIÓN SOLAR FIJA</t>
  </si>
  <si>
    <t>Se consideran los elementos externos al edificio que quedan de manera fija y protegen parte de la ventana. Según cada caso se escoge la tabla correspondiente. En caso de contar con más de un tipo de protección solar fija, se puede considerar la que genera más protección solar o debe realizarse el cálculo por separado.</t>
  </si>
  <si>
    <t>TIPO</t>
  </si>
  <si>
    <t>FS</t>
  </si>
  <si>
    <t>VOLADIZO</t>
  </si>
  <si>
    <t>RETRANQUEO</t>
  </si>
  <si>
    <t>LAMA HORIZONTAL</t>
  </si>
  <si>
    <t>LAMA VERTICAL</t>
  </si>
  <si>
    <t>Medidas</t>
  </si>
  <si>
    <t>Referencia</t>
  </si>
  <si>
    <t>Orientación Fachada</t>
  </si>
  <si>
    <t>D (m)</t>
  </si>
  <si>
    <t>R (m)</t>
  </si>
  <si>
    <t>L (m)</t>
  </si>
  <si>
    <t>W (m)</t>
  </si>
  <si>
    <t>H (m)</t>
  </si>
  <si>
    <t>D/L</t>
  </si>
  <si>
    <t xml:space="preserve">L/H </t>
  </si>
  <si>
    <t>R/W</t>
  </si>
  <si>
    <t>Ángulo (β)</t>
  </si>
  <si>
    <t>Ángulo (σ)</t>
  </si>
  <si>
    <t xml:space="preserve">D/H </t>
  </si>
  <si>
    <t>R/H</t>
  </si>
  <si>
    <t>SHGC</t>
  </si>
  <si>
    <r>
      <t xml:space="preserve">Factor sombra en ventana </t>
    </r>
    <r>
      <rPr>
        <b/>
        <sz val="10"/>
        <rFont val="Arial"/>
        <family val="2"/>
      </rPr>
      <t>(protección solar fija)</t>
    </r>
  </si>
  <si>
    <t>FS</t>
    <phoneticPr fontId="0" type="noConversion"/>
  </si>
  <si>
    <t>En caso de que exista un retranqueo, la longitud L se medirá desde el centro del acristalamiento.
Para el hemisferio norte, en la orientación de fachada se considera como orientación predominante el sur, en contexto de la carta solar para el hemisferio respectivo.
Fuente: Extraido desde el manual CES en base a CTE DB HE 2006.</t>
  </si>
  <si>
    <t>La longitud L se medirá desde el centro del acristalamiento.
Para el hemisferio norte, en la orientación de fachada se considera como orientación predominante el sur, en contexto de la carta solar para el hemisferio respectivo.
Fuente: Extraido desde el manual CES en base a CTE DB HE 2006.</t>
  </si>
  <si>
    <t>1. Los valores de factor de sombra que se indican en estas tablas han sido calculados para una relación D/L igual o inferior a 1 (La separación de las lamas debe ser mas pequeña que el ancho de esta).
Para el hemisferio norte, en la orientación de fachada se considera como orientación predominante el sur, en contexto de la carta solar para el hemisferio respectivo.
Fuente: Extraido desde el manual CES en base a CTE DB HE 2006.</t>
  </si>
  <si>
    <t>1. Los valores de factor de sombra que se indican en estas tablas han sido calculados para una relación D/L igual o inferior a 1 (La separación de las lamas debe ser mas pequeña que el ancho de esta).
2. El ángulo (σ) debe ser medido desde la normal a la fachada hacia el plano de las lamas, considerándose positivo en dirección horaria.
Fuente: Extraido desde el manual CES en base a CTE DB HE 2006.</t>
  </si>
  <si>
    <t>CUMPLIMIENTO</t>
  </si>
  <si>
    <t>Zona climatica</t>
  </si>
  <si>
    <t>- El limite del FSM o SHGC modificado establecido por Minergie es en base al porcentaje de acristalamiento y zona climática establecidos en la tabla N°1.
- El Factor de transmisión total de energía solar (g total o SHGC total) se calcula en base a la normativa UNE-EN 13363-1.
- El Factor solar Modificado (FSM) o SHGC modificado se calcula desde el manual CES en base al Código Técnico de la Ediﬁcación de España (CTE DB HE 2006).</t>
  </si>
  <si>
    <t>Porcentaje de acristalamiento</t>
  </si>
  <si>
    <t>SHGC modificado límite Minergie</t>
  </si>
  <si>
    <t>Ubicación de persiana</t>
  </si>
  <si>
    <r>
      <t xml:space="preserve">Factor de transmitancia de la energía solar </t>
    </r>
    <r>
      <rPr>
        <b/>
        <sz val="10"/>
        <rFont val="Arial"/>
        <family val="2"/>
      </rPr>
      <t>(acristalamiento)</t>
    </r>
  </si>
  <si>
    <r>
      <t>SHGC</t>
    </r>
    <r>
      <rPr>
        <b/>
        <sz val="9"/>
        <rFont val="Arial"/>
        <family val="2"/>
      </rPr>
      <t xml:space="preserve"> - total</t>
    </r>
  </si>
  <si>
    <r>
      <t xml:space="preserve">Factor de transmisión total de energía solar </t>
    </r>
    <r>
      <rPr>
        <b/>
        <sz val="10"/>
        <rFont val="Arial"/>
        <family val="2"/>
      </rPr>
      <t>(acristalamiento + persiana int. o ext.)</t>
    </r>
  </si>
  <si>
    <r>
      <t>SHGC</t>
    </r>
    <r>
      <rPr>
        <b/>
        <sz val="8"/>
        <rFont val="Arial"/>
        <family val="2"/>
      </rPr>
      <t xml:space="preserve"> - modificado</t>
    </r>
    <r>
      <rPr>
        <b/>
        <sz val="10"/>
        <rFont val="Arial"/>
        <family val="2"/>
      </rPr>
      <t xml:space="preserve"> 
&gt; Relevante para el requisito</t>
    </r>
  </si>
  <si>
    <r>
      <t xml:space="preserve">Factor de transmisión total de energía solar Modificado </t>
    </r>
    <r>
      <rPr>
        <b/>
        <sz val="10"/>
        <rFont val="Arial"/>
        <family val="2"/>
      </rPr>
      <t>(acristalamiento + persiana int. o ext. + p. solar fija)</t>
    </r>
  </si>
  <si>
    <t>Bibliografia referencial</t>
  </si>
  <si>
    <t>Factor de transmisión total de energía solar</t>
  </si>
  <si>
    <t>COMBINACIÓN VIDRIO + CORTINA INTERIOR O EXTERIOR</t>
  </si>
  <si>
    <t>Según la norma UNE-EN 13363-1</t>
  </si>
  <si>
    <t>Se puede obtener el valor "g total" (Factor de transmisión total de energía solar) combinando la transmisión de energia solar del vidrio (g) con el factor de transmitancia y reflexión solar de la cortina.</t>
  </si>
  <si>
    <t>El valor y formula varían según la posición de la persiana.</t>
  </si>
  <si>
    <t>FACTOR SOLAR MODIFICADO</t>
  </si>
  <si>
    <t>Según el Manual CES 1.1</t>
  </si>
  <si>
    <t>Podrán eximirse de los requerimientos de FSM aquellas ventanas en recintos con un acristalamiento de fachada de 20% o menos, y en recintos tipo habitaciones y circulaciones asociadas a habitaciones.</t>
  </si>
  <si>
    <t>Se exeptua el cumplimiento del FSM cuando existen, en un ámbito de 50 metros en torno al edificio, obstáculos tales como cerros u otros edificios, que bloqueen en 50% o más el acceso a la radiación solar directa, verificado  en las siguientes condiciones:
    - El mediodía solar del solsticio de invierno en el caso de fachadas N, NE y NO
    - Las 9:00 hrs del solsticio de verano en el caso de fachadas E
    - Las 17:00 hrs del solsticio de verano en el caso de fachadas O</t>
  </si>
  <si>
    <t xml:space="preserve">   </t>
  </si>
  <si>
    <t>Porcentaje</t>
  </si>
  <si>
    <t>Resultado</t>
  </si>
  <si>
    <t>Voladizo!A1</t>
  </si>
  <si>
    <r>
      <rPr>
        <sz val="8.5"/>
        <rFont val="Calibri"/>
        <family val="1"/>
      </rPr>
      <t>Orientación fachada</t>
    </r>
  </si>
  <si>
    <t>Límites</t>
  </si>
  <si>
    <r>
      <rPr>
        <sz val="8.5"/>
        <rFont val="Calibri"/>
        <family val="1"/>
      </rPr>
      <t>0,2&lt; L/H ≤0,5</t>
    </r>
  </si>
  <si>
    <r>
      <rPr>
        <sz val="8.5"/>
        <rFont val="Calibri"/>
        <family val="1"/>
      </rPr>
      <t>0,5&lt; L/H ≤1</t>
    </r>
  </si>
  <si>
    <r>
      <rPr>
        <sz val="8.5"/>
        <rFont val="Calibri"/>
        <family val="1"/>
      </rPr>
      <t>1&lt; L/H ≤2</t>
    </r>
  </si>
  <si>
    <r>
      <rPr>
        <sz val="8.5"/>
        <rFont val="Calibri"/>
        <family val="1"/>
      </rPr>
      <t>L/H &gt; 2</t>
    </r>
  </si>
  <si>
    <r>
      <rPr>
        <b/>
        <sz val="8.5"/>
        <rFont val="Calibri"/>
        <family val="1"/>
      </rPr>
      <t>Orientación fachada</t>
    </r>
  </si>
  <si>
    <r>
      <rPr>
        <b/>
        <sz val="8.5"/>
        <rFont val="Calibri"/>
        <family val="1"/>
      </rPr>
      <t>0,05&lt;R/W≤0,1</t>
    </r>
  </si>
  <si>
    <r>
      <rPr>
        <b/>
        <sz val="8.5"/>
        <rFont val="Calibri"/>
        <family val="1"/>
      </rPr>
      <t>0,1&lt;R/W≤0,2</t>
    </r>
  </si>
  <si>
    <r>
      <rPr>
        <b/>
        <sz val="8.5"/>
        <rFont val="Calibri"/>
        <family val="1"/>
      </rPr>
      <t>0,2&lt;R/W≤0,5</t>
    </r>
  </si>
  <si>
    <r>
      <rPr>
        <b/>
        <sz val="8.5"/>
        <rFont val="Calibri"/>
        <family val="1"/>
      </rPr>
      <t>R/W &gt;0,5</t>
    </r>
  </si>
  <si>
    <t>Angulo de inclinación (β)</t>
  </si>
  <si>
    <r>
      <rPr>
        <b/>
        <sz val="8.5"/>
        <rFont val="Calibri"/>
        <family val="1"/>
      </rPr>
      <t>Angulo de inclinación (σ)</t>
    </r>
  </si>
  <si>
    <r>
      <t>y = 0,3611x</t>
    </r>
    <r>
      <rPr>
        <vertAlign val="superscript"/>
        <sz val="10"/>
        <color theme="1"/>
        <rFont val="Arial"/>
        <family val="2"/>
      </rPr>
      <t>2</t>
    </r>
    <r>
      <rPr>
        <sz val="10"/>
        <color theme="1"/>
        <rFont val="Arial"/>
        <family val="2"/>
      </rPr>
      <t xml:space="preserve"> - 0,7629x + 0,6524</t>
    </r>
  </si>
  <si>
    <t>Persiana interior</t>
  </si>
  <si>
    <t>Retranqueo!A1</t>
  </si>
  <si>
    <t>Norte/Sur</t>
  </si>
  <si>
    <r>
      <rPr>
        <b/>
        <sz val="8.5"/>
        <rFont val="Calibri"/>
        <family val="1"/>
      </rPr>
      <t>&lt; 30°</t>
    </r>
  </si>
  <si>
    <r>
      <rPr>
        <b/>
        <sz val="8.5"/>
        <rFont val="Calibri"/>
        <family val="1"/>
      </rPr>
      <t>≥ 30°  y  &lt;60°</t>
    </r>
  </si>
  <si>
    <r>
      <rPr>
        <b/>
        <sz val="8.5"/>
        <rFont val="Calibri"/>
        <family val="1"/>
      </rPr>
      <t>≥ 60°</t>
    </r>
  </si>
  <si>
    <r>
      <rPr>
        <b/>
        <sz val="8.5"/>
        <rFont val="Calibri"/>
        <family val="1"/>
      </rPr>
      <t>≥60°</t>
    </r>
  </si>
  <si>
    <r>
      <rPr>
        <b/>
        <sz val="8.5"/>
        <rFont val="Calibri"/>
        <family val="1"/>
      </rPr>
      <t>≥45°</t>
    </r>
  </si>
  <si>
    <r>
      <rPr>
        <b/>
        <sz val="8.5"/>
        <rFont val="Calibri"/>
        <family val="1"/>
      </rPr>
      <t>≥30°</t>
    </r>
  </si>
  <si>
    <r>
      <rPr>
        <b/>
        <sz val="8.5"/>
        <rFont val="Calibri"/>
        <family val="1"/>
      </rPr>
      <t>≥0°</t>
    </r>
  </si>
  <si>
    <r>
      <rPr>
        <b/>
        <sz val="8.5"/>
        <rFont val="Calibri"/>
        <family val="1"/>
      </rPr>
      <t>≥-30°</t>
    </r>
  </si>
  <si>
    <r>
      <rPr>
        <b/>
        <sz val="8.5"/>
        <rFont val="Calibri"/>
        <family val="1"/>
      </rPr>
      <t>≥-45°</t>
    </r>
  </si>
  <si>
    <r>
      <rPr>
        <b/>
        <sz val="8.5"/>
        <rFont val="Calibri"/>
        <family val="1"/>
      </rPr>
      <t>≥-60°</t>
    </r>
  </si>
  <si>
    <t>Persiana exterior</t>
  </si>
  <si>
    <t>Lama horizontal!A1</t>
  </si>
  <si>
    <r>
      <rPr>
        <sz val="8.5"/>
        <rFont val="Calibri"/>
        <family val="1"/>
      </rPr>
      <t>0,05 &lt; R/H ≤ 0,1</t>
    </r>
  </si>
  <si>
    <t>Sin persiana</t>
  </si>
  <si>
    <t>Lama vertical!A1</t>
  </si>
  <si>
    <r>
      <rPr>
        <sz val="8.5"/>
        <rFont val="Calibri"/>
        <family val="1"/>
      </rPr>
      <t>0 &lt; D/H ≤ 0,2</t>
    </r>
  </si>
  <si>
    <r>
      <rPr>
        <sz val="8.5"/>
        <rFont val="Calibri"/>
        <family val="1"/>
      </rPr>
      <t>0,1 &lt; R/H ≤ 0,2</t>
    </r>
  </si>
  <si>
    <t>Norte</t>
  </si>
  <si>
    <t>SIN PROTECCIÓN FIJA</t>
  </si>
  <si>
    <r>
      <rPr>
        <sz val="8.5"/>
        <rFont val="Calibri"/>
        <family val="1"/>
      </rPr>
      <t>0,2 &lt; D/H ≤ 0,5</t>
    </r>
  </si>
  <si>
    <r>
      <rPr>
        <sz val="8.5"/>
        <rFont val="Calibri"/>
        <family val="1"/>
      </rPr>
      <t>0,2 &lt; R/H ≤ 0,5</t>
    </r>
  </si>
  <si>
    <t>NorOeste/SurOeste</t>
  </si>
  <si>
    <r>
      <rPr>
        <b/>
        <sz val="8.5"/>
        <rFont val="Calibri"/>
        <family val="1"/>
      </rPr>
      <t>NorOeste</t>
    </r>
  </si>
  <si>
    <r>
      <rPr>
        <sz val="8.5"/>
        <rFont val="Calibri"/>
        <family val="1"/>
      </rPr>
      <t>D/H &gt; 0,5</t>
    </r>
  </si>
  <si>
    <r>
      <rPr>
        <sz val="8.5"/>
        <rFont val="Calibri"/>
        <family val="1"/>
      </rPr>
      <t>R/H &gt; 0,5</t>
    </r>
  </si>
  <si>
    <t>NorEste/SurEste</t>
  </si>
  <si>
    <r>
      <rPr>
        <b/>
        <sz val="8.5"/>
        <rFont val="Calibri"/>
        <family val="1"/>
      </rPr>
      <t>NorEste</t>
    </r>
  </si>
  <si>
    <r>
      <t>NorEste</t>
    </r>
    <r>
      <rPr>
        <b/>
        <sz val="8.5"/>
        <rFont val="Calibri"/>
        <family val="2"/>
      </rPr>
      <t>/SurEste</t>
    </r>
  </si>
  <si>
    <r>
      <rPr>
        <b/>
        <sz val="8.5"/>
        <rFont val="Calibri"/>
        <family val="1"/>
      </rPr>
      <t>Oeste</t>
    </r>
  </si>
  <si>
    <r>
      <rPr>
        <b/>
        <sz val="8.5"/>
        <rFont val="Calibri"/>
        <family val="1"/>
      </rPr>
      <t>Este</t>
    </r>
  </si>
  <si>
    <t>Sur</t>
  </si>
  <si>
    <t>Sureste</t>
  </si>
  <si>
    <t>Suroeste</t>
  </si>
  <si>
    <t>Este</t>
  </si>
  <si>
    <t>Oeste</t>
  </si>
  <si>
    <r>
      <rPr>
        <i/>
        <sz val="8"/>
        <rFont val="Calibri Light"/>
        <family val="1"/>
      </rPr>
      <t>NOTA: En caso de que exista un retranqueo, la longitud L se medirá desde el centro del acristalamiento.</t>
    </r>
  </si>
  <si>
    <t>Valor inicial</t>
  </si>
  <si>
    <t>Zona</t>
  </si>
  <si>
    <t>Tramo 1</t>
  </si>
  <si>
    <t>Tramo 2</t>
  </si>
  <si>
    <t>Pendiente</t>
  </si>
  <si>
    <t>Desfase</t>
  </si>
  <si>
    <t>Constante</t>
  </si>
  <si>
    <t>ASHRAE 2 y 3 (Chile C y D)</t>
  </si>
  <si>
    <t>SurEste</t>
  </si>
  <si>
    <t>ASHRAE 0 y 1 (Chile A y B)</t>
  </si>
  <si>
    <t>SurOeste</t>
  </si>
  <si>
    <t>Anexo 1 Tabla 31</t>
  </si>
  <si>
    <t>Anexo 2 Tabla A.2</t>
  </si>
  <si>
    <t>Factor de reflexión - ρe,B</t>
  </si>
  <si>
    <r>
      <rPr>
        <b/>
        <sz val="8"/>
        <color rgb="FFFFFFFF"/>
        <rFont val="Calibri"/>
        <family val="1"/>
      </rPr>
      <t>Color</t>
    </r>
  </si>
  <si>
    <r>
      <rPr>
        <b/>
        <sz val="8"/>
        <color rgb="FFFFFFFF"/>
        <rFont val="Calibri"/>
        <family val="1"/>
      </rPr>
      <t>Claro</t>
    </r>
  </si>
  <si>
    <r>
      <rPr>
        <b/>
        <sz val="8"/>
        <color rgb="FFFFFFFF"/>
        <rFont val="Calibri"/>
        <family val="1"/>
      </rPr>
      <t>Medio</t>
    </r>
  </si>
  <si>
    <r>
      <rPr>
        <b/>
        <sz val="8"/>
        <color rgb="FFFFFFFF"/>
        <rFont val="Calibri"/>
        <family val="1"/>
      </rPr>
      <t>Oscuro</t>
    </r>
  </si>
  <si>
    <t>Factor de transmitancia - τe,B</t>
  </si>
  <si>
    <t xml:space="preserve"> τe,B</t>
  </si>
  <si>
    <t>Blanco</t>
  </si>
  <si>
    <t>Pastel</t>
  </si>
  <si>
    <t>Oscuro</t>
  </si>
  <si>
    <t>Negro</t>
  </si>
  <si>
    <r>
      <rPr>
        <b/>
        <sz val="8"/>
        <rFont val="Calibri"/>
        <family val="1"/>
      </rPr>
      <t>Blanco</t>
    </r>
  </si>
  <si>
    <r>
      <rPr>
        <sz val="8"/>
        <rFont val="Calibri"/>
        <family val="1"/>
      </rPr>
      <t>-</t>
    </r>
  </si>
  <si>
    <t>Opaco 0 - 3%</t>
  </si>
  <si>
    <t>τe,B</t>
  </si>
  <si>
    <t>Factor de transmitancia solar</t>
  </si>
  <si>
    <t>Cortina medianamente traslucida, color blanco.</t>
  </si>
  <si>
    <r>
      <rPr>
        <b/>
        <sz val="8"/>
        <rFont val="Calibri"/>
        <family val="1"/>
      </rPr>
      <t>Amarillo</t>
    </r>
  </si>
  <si>
    <t>Medianamente Translúcido 3% - 6%</t>
  </si>
  <si>
    <t>ρe,B</t>
  </si>
  <si>
    <t>Factor de reflexión solar de la cara del lado de la radiación</t>
  </si>
  <si>
    <r>
      <rPr>
        <b/>
        <sz val="8"/>
        <rFont val="Calibri"/>
        <family val="1"/>
      </rPr>
      <t>Beige</t>
    </r>
  </si>
  <si>
    <t>Muy Translúcido 6% - 18%</t>
  </si>
  <si>
    <t>L/H</t>
  </si>
  <si>
    <t>αe,B</t>
  </si>
  <si>
    <t>Coeficiente de absorción</t>
  </si>
  <si>
    <r>
      <rPr>
        <b/>
        <sz val="8"/>
        <rFont val="Calibri"/>
        <family val="1"/>
      </rPr>
      <t>Marrón</t>
    </r>
  </si>
  <si>
    <t>D/H &gt; 0,5</t>
  </si>
  <si>
    <r>
      <rPr>
        <b/>
        <sz val="8"/>
        <rFont val="Calibri"/>
        <family val="1"/>
      </rPr>
      <t>Rojo</t>
    </r>
  </si>
  <si>
    <t>orientación</t>
  </si>
  <si>
    <t>NorEste</t>
  </si>
  <si>
    <t>Persiana Interior</t>
  </si>
  <si>
    <t>Fuente</t>
  </si>
  <si>
    <r>
      <rPr>
        <b/>
        <sz val="8"/>
        <rFont val="Calibri"/>
        <family val="1"/>
      </rPr>
      <t>Verde</t>
    </r>
  </si>
  <si>
    <r>
      <t>G</t>
    </r>
    <r>
      <rPr>
        <sz val="9"/>
        <rFont val="Arial Nova Light"/>
        <family val="2"/>
      </rPr>
      <t>2</t>
    </r>
  </si>
  <si>
    <t xml:space="preserve">Coeficiente fijo en la norma W/(m ⋅K) </t>
  </si>
  <si>
    <t>UNE-EN 13363-1</t>
  </si>
  <si>
    <r>
      <rPr>
        <b/>
        <sz val="8"/>
        <rFont val="Calibri"/>
        <family val="1"/>
      </rPr>
      <t>Azul</t>
    </r>
  </si>
  <si>
    <t>G</t>
  </si>
  <si>
    <t>Conductancia térmica</t>
  </si>
  <si>
    <r>
      <rPr>
        <b/>
        <sz val="8"/>
        <rFont val="Calibri"/>
        <family val="1"/>
      </rPr>
      <t>Gris</t>
    </r>
  </si>
  <si>
    <t>g (total) interior</t>
  </si>
  <si>
    <r>
      <t xml:space="preserve">Factor de transmisión total de energía solar 
</t>
    </r>
    <r>
      <rPr>
        <b/>
        <sz val="10"/>
        <rFont val="Arial Nova Light"/>
        <family val="2"/>
      </rPr>
      <t>(acristalamiento + protección solar interior)</t>
    </r>
  </si>
  <si>
    <r>
      <rPr>
        <b/>
        <sz val="8"/>
        <rFont val="Calibri"/>
        <family val="1"/>
      </rPr>
      <t>Negro</t>
    </r>
  </si>
  <si>
    <r>
      <t>G</t>
    </r>
    <r>
      <rPr>
        <sz val="9"/>
        <rFont val="Arial Nova Light"/>
        <family val="2"/>
      </rPr>
      <t>1</t>
    </r>
  </si>
  <si>
    <t>g (total) exterior</t>
  </si>
  <si>
    <r>
      <t xml:space="preserve">Factor de transmisión total de energía solar 
</t>
    </r>
    <r>
      <rPr>
        <b/>
        <sz val="10"/>
        <rFont val="Arial Nova Light"/>
        <family val="2"/>
      </rPr>
      <t>(acristalamiento + protección solar exterior)</t>
    </r>
  </si>
  <si>
    <t>A6</t>
  </si>
  <si>
    <t>Ventilación natural</t>
  </si>
  <si>
    <t>Zonas Chile: Todas, con refuerzo en A, B, C Y D.</t>
  </si>
  <si>
    <t>Zonas ASHRAE: Todas, con refuerzo en las zonas 0, 1, 2 y 3</t>
  </si>
  <si>
    <t>Alternativa 1 No existe normativa local.</t>
  </si>
  <si>
    <t>Habitación</t>
  </si>
  <si>
    <t>Superficie piso* (m2)</t>
  </si>
  <si>
    <t>Superficie de ventana (m2)</t>
  </si>
  <si>
    <t>Área de abertura efectiva de ventana (m2)</t>
  </si>
  <si>
    <t>Tipo de ventana predominante</t>
  </si>
  <si>
    <t>Requisito Minergie</t>
  </si>
  <si>
    <r>
      <t xml:space="preserve">Cuando </t>
    </r>
    <r>
      <rPr>
        <b/>
        <sz val="10"/>
        <color theme="0"/>
        <rFont val="Arial"/>
        <family val="2"/>
      </rPr>
      <t xml:space="preserve">no exista una normativa local </t>
    </r>
    <r>
      <rPr>
        <sz val="10"/>
        <color theme="0"/>
        <rFont val="Arial"/>
        <family val="2"/>
      </rPr>
      <t>con exigencia de superficie de ventana (%) respecto a la superficie de piso, se debe considerar una superficie de ventana operable de 4% mínimo en viviendas y oficinas, respectivemente 8% en centros educativos.</t>
    </r>
  </si>
  <si>
    <r>
      <rPr>
        <b/>
        <u/>
        <sz val="10"/>
        <color theme="0"/>
        <rFont val="Arial"/>
        <family val="2"/>
      </rPr>
      <t>Área de abertura efectiva (referencia Manual CVS 2021)</t>
    </r>
    <r>
      <rPr>
        <sz val="10"/>
        <color theme="0"/>
        <rFont val="Arial"/>
        <family val="2"/>
      </rPr>
      <t xml:space="preserve">
</t>
    </r>
    <r>
      <rPr>
        <sz val="12"/>
        <color theme="0"/>
        <rFont val="Arial"/>
        <family val="2"/>
      </rPr>
      <t xml:space="preserve">Ae=a*b*seno </t>
    </r>
    <r>
      <rPr>
        <sz val="12"/>
        <color theme="0"/>
        <rFont val="Symbol"/>
        <family val="1"/>
        <charset val="2"/>
      </rPr>
      <t>a</t>
    </r>
    <r>
      <rPr>
        <sz val="10"/>
        <color theme="0"/>
        <rFont val="Arial"/>
        <family val="2"/>
      </rPr>
      <t xml:space="preserve">
Donde:
Ae: Área efectiva de abertura
a: Ancho del perímetro interior del marco que soporta la hoja batiente, oscilante o proyectante.
b: Altura del perímetro interior del marco que soporta la hoja batiente, oscilante o proyectante.
</t>
    </r>
    <r>
      <rPr>
        <sz val="10"/>
        <color theme="0"/>
        <rFont val="Symbol"/>
        <family val="1"/>
        <charset val="2"/>
      </rPr>
      <t>a: A</t>
    </r>
    <r>
      <rPr>
        <sz val="10"/>
        <color theme="0"/>
        <rFont val="Arial"/>
        <family val="2"/>
      </rPr>
      <t xml:space="preserve">ngulo de giro de la hoja batiente, oscilante o proyectante.
</t>
    </r>
    <r>
      <rPr>
        <b/>
        <sz val="10"/>
        <color theme="0"/>
        <rFont val="Arial"/>
        <family val="2"/>
      </rPr>
      <t xml:space="preserve">Para ventanas </t>
    </r>
    <r>
      <rPr>
        <b/>
        <u/>
        <sz val="10"/>
        <color theme="0"/>
        <rFont val="Arial"/>
        <family val="2"/>
      </rPr>
      <t>correderas</t>
    </r>
    <r>
      <rPr>
        <b/>
        <sz val="10"/>
        <color theme="0"/>
        <rFont val="Arial"/>
        <family val="2"/>
      </rPr>
      <t xml:space="preserve"> se debe asumir un área de apertura efectiva de </t>
    </r>
    <r>
      <rPr>
        <b/>
        <u/>
        <sz val="10"/>
        <color theme="0"/>
        <rFont val="Arial"/>
        <family val="2"/>
      </rPr>
      <t>50%</t>
    </r>
    <r>
      <rPr>
        <b/>
        <sz val="10"/>
        <color theme="0"/>
        <rFont val="Arial"/>
        <family val="2"/>
      </rPr>
      <t xml:space="preserve"> y para </t>
    </r>
    <r>
      <rPr>
        <b/>
        <u/>
        <sz val="10"/>
        <color theme="0"/>
        <rFont val="Arial"/>
        <family val="2"/>
      </rPr>
      <t>batientes u oscilobatientes</t>
    </r>
    <r>
      <rPr>
        <b/>
        <sz val="10"/>
        <color theme="0"/>
        <rFont val="Arial"/>
        <family val="2"/>
      </rPr>
      <t xml:space="preserve"> se puede asumir una apertura efectiva del </t>
    </r>
    <r>
      <rPr>
        <b/>
        <u/>
        <sz val="10"/>
        <color theme="0"/>
        <rFont val="Arial"/>
        <family val="2"/>
      </rPr>
      <t>100%</t>
    </r>
    <r>
      <rPr>
        <b/>
        <sz val="10"/>
        <color theme="0"/>
        <rFont val="Arial"/>
        <family val="2"/>
      </rPr>
      <t xml:space="preserve"> </t>
    </r>
  </si>
  <si>
    <t>* Superficie útil del recinto de evaluación</t>
  </si>
  <si>
    <t>Alternativa 2 Respecto de la normativa local.</t>
  </si>
  <si>
    <t>Normativa Local (nombre)</t>
  </si>
  <si>
    <t>Exigencia (%)</t>
  </si>
  <si>
    <r>
      <t xml:space="preserve">Cuando el proyecto se encuentra en una zona </t>
    </r>
    <r>
      <rPr>
        <b/>
        <sz val="10"/>
        <color theme="0"/>
        <rFont val="Arial"/>
        <family val="2"/>
      </rPr>
      <t xml:space="preserve">con normativa local </t>
    </r>
    <r>
      <rPr>
        <sz val="10"/>
        <color theme="0"/>
        <rFont val="Arial"/>
        <family val="2"/>
      </rPr>
      <t>para la superficie mínima de ventana operable (%) respecto a la superficie de piso, se debe declarar este porcentaje de exigencia y la normativa desde la que se extrae.</t>
    </r>
  </si>
  <si>
    <t>A7</t>
  </si>
  <si>
    <t>Materiales sostenibles y reducción de la huella de carbono</t>
  </si>
  <si>
    <t>Superficie construida m2</t>
  </si>
  <si>
    <t>Período de evaluación ACV Minergie (años)</t>
  </si>
  <si>
    <r>
      <rPr>
        <b/>
        <sz val="10"/>
        <color rgb="FF000000"/>
        <rFont val="Arial"/>
      </rPr>
      <t xml:space="preserve">Lista de los materiales y productos de construcción que </t>
    </r>
    <r>
      <rPr>
        <b/>
        <u/>
        <sz val="10"/>
        <color rgb="FF000000"/>
        <rFont val="Arial"/>
      </rPr>
      <t>no son</t>
    </r>
    <r>
      <rPr>
        <b/>
        <sz val="10"/>
        <color rgb="FF000000"/>
        <rFont val="Arial"/>
      </rPr>
      <t xml:space="preserve"> de origen regional</t>
    </r>
  </si>
  <si>
    <t>Distancia al proyeto</t>
  </si>
  <si>
    <t>Verificación
(Link maps o coordenadas)</t>
  </si>
  <si>
    <t>Justificación</t>
  </si>
  <si>
    <r>
      <rPr>
        <sz val="11"/>
        <color rgb="FFFFFFFF"/>
        <rFont val="Arial"/>
      </rPr>
      <t xml:space="preserve">Se deben identificar los materiales y productos que provengan de otro país que él donde se construye el proyecto, o que estén producido a más de 500 km del lugar del proyecto (distancia de transporte por carretera). 
Para estos materiales, se deberá demostrar que no existe en el país o a menos de 500 km del lugar del proyecto (la condición la más exigente) un material o producto similar y de calidad técnica equivalente. Para esto se debe compartir información sobre </t>
    </r>
    <r>
      <rPr>
        <b/>
        <sz val="11"/>
        <color rgb="FFFFFFFF"/>
        <rFont val="Arial"/>
      </rPr>
      <t>al menos 3 materiales o productos similares producidos en el país o en un rayo de menos de 500 km</t>
    </r>
    <r>
      <rPr>
        <sz val="11"/>
        <color rgb="FFFFFFFF"/>
        <rFont val="Arial"/>
      </rPr>
      <t xml:space="preserve"> y justificar porque estos materiales o productos no se utilizaron en el  proyecto (p.ej. mostrando porque la calidad técnica no es equivalente). </t>
    </r>
  </si>
  <si>
    <t>Certificación de origen de la madera (gestión sostenible)</t>
  </si>
  <si>
    <t>Uso de madera en proyecto</t>
  </si>
  <si>
    <t>Porcentaje de volumen utilizada en proyecto</t>
  </si>
  <si>
    <t>Tipo de Certificado y fecha</t>
  </si>
  <si>
    <t>Verificación (pegar cert.)</t>
  </si>
  <si>
    <t>Proyectos en madera</t>
  </si>
  <si>
    <t>Para los proyectos que utilizan madera, sea en material estructural y/o no estructural, el requisito se considerará como cumplido únicamente en el caso de que el 80% del volumen de madera utilizada en el proyecto tenga además un certificado de origen sostenible de tipo FSC o equivalente.
En el caso de no encontrarse producción de madera certificada de origen sostenible en el país o en un rayo de 500 km, se aceptará excepcionalmente una madera de origen más lejano, mientras se trata del lugar el más cercano para 
obtener madera certificada de la misma calidad técnica.</t>
  </si>
  <si>
    <t>Total</t>
  </si>
  <si>
    <t>Cálculo de carbono en operación (2 alternativas de cálculo)</t>
  </si>
  <si>
    <t>Alternativa 1</t>
  </si>
  <si>
    <t>Carbono justificado desde otra fuente (CEV, EDGE)</t>
  </si>
  <si>
    <t>Consumo por m2 (kWh/m2 anual)</t>
  </si>
  <si>
    <t>Emisiones de CO2e justificado(kgCO2/m2 anual)</t>
  </si>
  <si>
    <t>Arquitectura + Equipos + tipo de energía</t>
  </si>
  <si>
    <r>
      <t xml:space="preserve">1. - Alternativa 1: para verificar el </t>
    </r>
    <r>
      <rPr>
        <b/>
        <sz val="10"/>
        <color theme="0"/>
        <rFont val="Arial"/>
        <family val="2"/>
      </rPr>
      <t xml:space="preserve">carbono operacional </t>
    </r>
    <r>
      <rPr>
        <sz val="10"/>
        <color theme="0"/>
        <rFont val="Arial"/>
        <family val="2"/>
      </rPr>
      <t>de su proyecto, Usted puede indicar directamente el valor que entrega el Informe CEV (Chile) o puede calcular con los factores de emisión para energía final indicados por Minergie.
Si posee el reporte de carbono desde otra fuente, se solicita el informe o comprobante del cálculo.</t>
    </r>
  </si>
  <si>
    <t>Alternativa 2</t>
  </si>
  <si>
    <t>Tipo de energético</t>
  </si>
  <si>
    <t xml:space="preserve">2 . Alternativa 2: Primero desplegar la selección del "Tipo de Energético", donde se optará por "Energético Minergie" o "Energético Personal", el primero corresponde a los factores de emisión obtenidos el IPCC para los países de Chile y México del año 2020. La segunda opción correspondiente al  "Tipo Energético Personal" , se encuentra habilitada para incorporar otro tipo de energético con sus respectivos factores de emisión o factores actualizados, es importante dejar la fuente desde donde se obtuvo la información del energético utilizado. </t>
  </si>
  <si>
    <t xml:space="preserve">Para calcular el aporte de ERNC, consulte al proveedor del sistema solar o dirijase a  los links de enlance.
En dicho sitio, primero elija la ubicación del proyecto, luego la alternativa de ERNC que quiere calcular. El dato a ingresar en el apartado de "Capacidad Instalada" en KW, corresponde a la potencia mínima requerida por Minergie (Potencia Mínima Requerida ERNC) . La herramienta entregará un resultado de generación fotovoltaica anual, de acuerdo a los datos entregados, que luego debe dividir por la superficie acondicionada para obtener el consumo por m2 (KWh/m2 anual)  </t>
  </si>
  <si>
    <t>Explorador solar Chile</t>
  </si>
  <si>
    <t>Carbono Operacional</t>
  </si>
  <si>
    <t xml:space="preserve">Factor de emisión (kgCO2e/kWh) </t>
  </si>
  <si>
    <t>Emisiones de CO2e (kgCO2e/m2 anual)</t>
  </si>
  <si>
    <t>Explorador solar México</t>
  </si>
  <si>
    <t>ACS</t>
  </si>
  <si>
    <t>Potencia Mínima Requerida ERNC [kWp]</t>
  </si>
  <si>
    <t>Iluminación</t>
  </si>
  <si>
    <t>Calefacción</t>
  </si>
  <si>
    <t>Ventilación</t>
  </si>
  <si>
    <t>ERNC (aporte energía uso final)</t>
  </si>
  <si>
    <t>Tabla Energético Personal</t>
  </si>
  <si>
    <t>Cálculo de carbono incorporado o embebido</t>
  </si>
  <si>
    <t>Carbono Incorporado (A1-A3)</t>
  </si>
  <si>
    <t>N° DAP</t>
  </si>
  <si>
    <t>Unidad de medida</t>
  </si>
  <si>
    <t>GWP (KgCO2e)*</t>
  </si>
  <si>
    <t>Cantidad (respetando unidad de medida)</t>
  </si>
  <si>
    <t>Total KgCO2e</t>
  </si>
  <si>
    <t>2.- Indique los elementos y materiales más incidentes (en volúmen) en cada una de las siguientes componentes de subestructura y superestructura del proyecto:
    Subestructura: 
       -fundaciones
    Superestructura:
       -marcos (pilares / vigas / muros interiores estructurales) 
       -muros envolvente
       -losas
       -techumbres
       -ventanas / puertas exteriores
       -aislación térmica
       -escaleras / rampas
Como mínimo se tienen que ingresar los volúmenes de los siguientes materiales: acero, concreto, ladrillo, vidrio, CLT.
3.- Puede utilizarse un GWP diferente siempre y cuando se justifique con la correspondiente Declaración Ambiental de Producto (DAP) o EPD por sus siglas en inglés. Esta declaración debe adjuntarse en la plataforma en los documentos del requerimiento E1. En caso de utilizar algunos valores justificados incorpore los valores en la Biblioteca Personal</t>
  </si>
  <si>
    <t>Ir  a Biblioteca Personal DAP</t>
  </si>
  <si>
    <r>
      <t xml:space="preserve">* La biblioteca de GWP se ha obtenido de la base de datos de la calculadora de huella de carbono </t>
    </r>
    <r>
      <rPr>
        <b/>
        <sz val="10"/>
        <rFont val="Arial"/>
        <family val="2"/>
      </rPr>
      <t>Rukaru</t>
    </r>
    <r>
      <rPr>
        <b/>
        <sz val="10"/>
        <color rgb="FFFF7C80"/>
        <rFont val="Arial"/>
        <family val="2"/>
      </rPr>
      <t>, la cual recopila datos de bases de datos reconocidas y validadas internacionalmente, además de DAP locales.</t>
    </r>
  </si>
  <si>
    <t xml:space="preserve">CARBONO INCORPORADO (A1-A3) / M2  </t>
  </si>
  <si>
    <t xml:space="preserve">CARBONO INCORPORADO (A1-A3) / M2 ANUAL </t>
  </si>
  <si>
    <t>Emisiones de CO2</t>
  </si>
  <si>
    <t>% incidencia carbono</t>
  </si>
  <si>
    <t>Carbono Incorporado</t>
  </si>
  <si>
    <t>Carbono Total</t>
  </si>
  <si>
    <t>KgCO2e/m2 anual</t>
  </si>
  <si>
    <t>Para obtener los datos graficados, ingrese los resultados obtenidos de carbono operacional (alternativa 1 o 2) y carbono incoporado (calculados con datos referenciales Minergie o datos justificados)</t>
  </si>
  <si>
    <t>Biblioteca DAP Personal</t>
  </si>
  <si>
    <t>Energético Personal</t>
  </si>
  <si>
    <t>Material.Biblioteca.Personal</t>
  </si>
  <si>
    <t>kgCO2e</t>
  </si>
  <si>
    <t>Fecha Caducidad</t>
  </si>
  <si>
    <t>Vencimiento</t>
  </si>
  <si>
    <t>Otro Energético</t>
  </si>
  <si>
    <t>Factor de emisión</t>
  </si>
  <si>
    <t>SHSHHS</t>
  </si>
  <si>
    <t>A7.a</t>
  </si>
  <si>
    <t>Materiales renovables locales como estructura principal</t>
  </si>
  <si>
    <t>Superficie total (m2)</t>
  </si>
  <si>
    <t>Superficie en material renovable  local (m2)</t>
  </si>
  <si>
    <t>Porcentaje en material renovable local</t>
  </si>
  <si>
    <t>Paredes exteriores</t>
  </si>
  <si>
    <t xml:space="preserve">Se considera como parte de la estructura portante la superficie total de: 
− Los elementos de la envolvente (paredes exteriores estructurales y techos; se excluyen las ventanas y puertas).
− Las losas sobre el nivel de terreno.
− Los muros portantes interiores sobre el nivel de terreno.
Los siguientes elementos de construcción no se incluyen en el cálculo de superficie total de la estructura portante, en el marco de este requisito: 
− Las escaleras.
− Las cajas de ascensor.
− Las sobrelosas en hormigon de hasta 8 cm de espesor (sistema mixto). </t>
  </si>
  <si>
    <t>Techos</t>
  </si>
  <si>
    <t>Losas</t>
  </si>
  <si>
    <t>Muros interiores portantes</t>
  </si>
  <si>
    <t>Total proyecto (solo superficies)</t>
  </si>
  <si>
    <t>Requerimiento Minergie</t>
  </si>
  <si>
    <t>Largo total (ml)</t>
  </si>
  <si>
    <t>Largo en material renovable  local (ml)</t>
  </si>
  <si>
    <t>Aplica únicamente para los pilares y vigas que no son parte de un muro de contraviento.</t>
  </si>
  <si>
    <t>Pilares y vigas</t>
  </si>
  <si>
    <t>Total proyecto (solo metros lineares)</t>
  </si>
  <si>
    <t>A7.b</t>
  </si>
  <si>
    <t>Materiales renovables locales como materiales principales no estructurales</t>
  </si>
  <si>
    <t>Unidad</t>
  </si>
  <si>
    <t>Total componente</t>
  </si>
  <si>
    <t>Componente en material renovable local</t>
  </si>
  <si>
    <t>Tipo / naturaleza de material renovable local</t>
  </si>
  <si>
    <t xml:space="preserve">Estructura de tabiques interiores </t>
  </si>
  <si>
    <r>
      <t xml:space="preserve">Se consideran los siguientes elementos:
− Estructura de tabiques interiores o de envolvente (p.ej. metálica o de madera).
− Mobiliario fijo.
− Puertas interiores.
</t>
    </r>
    <r>
      <rPr>
        <u/>
        <sz val="10"/>
        <color theme="0"/>
        <rFont val="Arial"/>
        <family val="2"/>
      </rPr>
      <t>Tipo / naturaleza de material renovable local:</t>
    </r>
    <r>
      <rPr>
        <sz val="10"/>
        <color theme="0"/>
        <rFont val="Arial"/>
        <family val="2"/>
      </rPr>
      <t xml:space="preserve"> indique si se refiere a madera o derivados, adobe, piedra, etc.</t>
    </r>
  </si>
  <si>
    <t>Mobiliario fijo</t>
  </si>
  <si>
    <t>número</t>
  </si>
  <si>
    <t>un</t>
  </si>
  <si>
    <t>Puertas interiores</t>
  </si>
  <si>
    <t>Total proyecto</t>
  </si>
  <si>
    <t>A8</t>
  </si>
  <si>
    <t>Impacto ambiental de la construcción y del espacio exterior</t>
  </si>
  <si>
    <t>Superficie total de la parcela</t>
  </si>
  <si>
    <t>Al menos un 5% de los espacios alrededor de la edificación son ocupados por setos, hilera o conjunto de árboles adaptados al lugar.
Se busca mantener los árboles ya existentes en el predio de construcción.</t>
  </si>
  <si>
    <t>Superficie ocupada por la edificación</t>
  </si>
  <si>
    <t>Superficie espacios alrededor de la edificación</t>
  </si>
  <si>
    <t>Espacios de setos, hilera o conjunto de árboles</t>
  </si>
  <si>
    <t>Superficie espacios exteriores</t>
  </si>
  <si>
    <t>Al menos un 35% de los espacios exteriores deben contar con vegetación (incluye, por ejemplo, los espacios con setos o árboles según el punto anterior). Los espacios exteriores incluyen también los techos planos, así como balcones y terrazas comunes.</t>
  </si>
  <si>
    <t>Superficie cubierta con vegetación</t>
  </si>
  <si>
    <t>Toda la vegetación es nativa o adaptada</t>
  </si>
  <si>
    <t xml:space="preserve">Toda la vegetación debe ser nativa o adaptada. </t>
  </si>
  <si>
    <t>Requimento A8 cumplido</t>
  </si>
  <si>
    <t>A8.b</t>
  </si>
  <si>
    <t>Elementos constructivos expuestos a la lluvia sin metales pesados</t>
  </si>
  <si>
    <t>Superficie con metales pesados no protegidos (m2)</t>
  </si>
  <si>
    <t>Requerimiento Minergie superficie (m2)</t>
  </si>
  <si>
    <t>Porcentaje con metales pesados</t>
  </si>
  <si>
    <t>Requerimiento Minergie %</t>
  </si>
  <si>
    <t>Requerimiento E2.b cumplido</t>
  </si>
  <si>
    <t>≤50</t>
  </si>
  <si>
    <t>&lt;10%</t>
  </si>
  <si>
    <t>Muros exteriores y bordes de ventanas</t>
  </si>
  <si>
    <t>≤300</t>
  </si>
  <si>
    <t>&lt;25%</t>
  </si>
  <si>
    <t xml:space="preserve">Se autoriza excepcionalmente esos materiales (excepto el plomo) sobre una superficie de menos de 10% de la techumbre (y 50 m2 máximo) y de menos de 25% (y 300 m2 máximo) de las fachadas. </t>
  </si>
  <si>
    <t>Nombre del producto</t>
  </si>
  <si>
    <t>Nombre del fabricante</t>
  </si>
  <si>
    <t>Tipo de producto o lugar de instalación en la edificación</t>
  </si>
  <si>
    <t>Plomo</t>
  </si>
  <si>
    <t>Cobre</t>
  </si>
  <si>
    <t>Zinc-titanio bruto</t>
  </si>
  <si>
    <t>Acero galvanizado</t>
  </si>
  <si>
    <t>Acero bruto</t>
  </si>
  <si>
    <t>Ficha</t>
  </si>
  <si>
    <t>A9</t>
  </si>
  <si>
    <t>Espacios interiores más sanos</t>
  </si>
  <si>
    <t>PINTURAS</t>
  </si>
  <si>
    <t xml:space="preserve">− Las pinturas con plomo están prohibidas.
− Las pinturas con una cantidad de solventes o COV superior al 25 % de su masa están prohibidos en espacios interiores acondicionados. </t>
  </si>
  <si>
    <t>Nombre producto</t>
  </si>
  <si>
    <t>Nombre fabricante</t>
  </si>
  <si>
    <t>Recinto en el que se usa</t>
  </si>
  <si>
    <t>¿Sin plomo?</t>
  </si>
  <si>
    <t>Espacios interiores acondicionados</t>
  </si>
  <si>
    <t>Cantidad de COV (%)</t>
  </si>
  <si>
    <t>Evaluación COV</t>
  </si>
  <si>
    <t>Evaluación
Requerimiento</t>
  </si>
  <si>
    <t>BARNICES</t>
  </si>
  <si>
    <t xml:space="preserve">− Los barnices con una cantidad de solventes o COV superior al 25 % de su masa están prohibidos en espacios interiores acondicionados. </t>
  </si>
  <si>
    <t>PRODUCTOS DE MADERA O EN BASE A MADERA</t>
  </si>
  <si>
    <t>− La madera tratada con CCA (Cobre, Cromo y Arsénico) o con productos en base a SBX (óxido de boro) está prohibida. 
− Los materiales y productos de madera o en base a madera con alto contenido en formaldehído están prohibidos en contacto con los espacios interiores. 
− El contenido de formaldehido debe ser inferior a 8mg/100g de madera o 0,1ppm o 0,124mg/m3 de aire.
− El cumplimiento respecto al formaldehido se acepta si el producto tiene certificado E0, E1, CARB2, EPA.</t>
  </si>
  <si>
    <t>Espacio interior</t>
  </si>
  <si>
    <t>¿Sin CCA?</t>
  </si>
  <si>
    <t>¿Sin SBX?</t>
  </si>
  <si>
    <t>Contenido en formaldeido</t>
  </si>
  <si>
    <t>MATERIALES QUE LIBEREN FIBRAS MINERALES RESPIRABLES</t>
  </si>
  <si>
    <t>− Materiales que liberen fibras minerales respirables (por ejemplo, los materiales de aislamiento de fibra mineral) no deben estar en contacto directo con el aire de la habitación. Es necesario un revestimiento completo, por ejemplo, con tablas, vellón o papel reforzado.</t>
  </si>
  <si>
    <t>¿Existe una lámina o elemento de separación entre el material con fibras minerales y el aire de la habitación?</t>
  </si>
  <si>
    <t>A9.a</t>
  </si>
  <si>
    <t xml:space="preserve">Protección contra el ruido </t>
  </si>
  <si>
    <t>AISLAMIENTO ACÚSTICO ENVOLVENTE</t>
  </si>
  <si>
    <t>Celdas necesarias para el cálculo a ocultar</t>
  </si>
  <si>
    <t>Elemento opaco de envolvente (vertical y horizontal)</t>
  </si>
  <si>
    <t>Descripción paquete constructivo</t>
  </si>
  <si>
    <t>Documento de respaldo de aislación</t>
  </si>
  <si>
    <t>Superficie (m2)</t>
  </si>
  <si>
    <t>% de superficie</t>
  </si>
  <si>
    <t>Protección acústica</t>
  </si>
  <si>
    <t>Objetivo: &gt;45 dB(A)</t>
  </si>
  <si>
    <t>Elemento liviano de envolvente (puertas y ventanas)</t>
  </si>
  <si>
    <t>Objetivo: &gt;28 dB(A)</t>
  </si>
  <si>
    <t>ENVOLVENTE TOTAL</t>
  </si>
  <si>
    <t>Ponderación entre elementos opacos descontando puertas y ventanas.</t>
  </si>
  <si>
    <t>Resultados</t>
  </si>
  <si>
    <t>AISLAMIENTO ACÚSTICO ELEMENTOS VERTICALES DIVISORIOS</t>
  </si>
  <si>
    <t>Elementos verticales divisorios (entre unidades, excepto puertas)</t>
  </si>
  <si>
    <t>Recintos que divide</t>
  </si>
  <si>
    <t>Objetivo: &gt;55 dB(A)</t>
  </si>
  <si>
    <t>PRESIÓN ACÚSTICA DE IMPACTO NORMALIZADO</t>
  </si>
  <si>
    <t>Tipo de elemento</t>
  </si>
  <si>
    <t>≤60 dB</t>
  </si>
  <si>
    <t>ANCLAJE DE TUBERIAS</t>
  </si>
  <si>
    <t>Tipo de tubería</t>
  </si>
  <si>
    <t>Anclaje con sujetadores elásticos</t>
  </si>
  <si>
    <t>Incluido en EETT</t>
  </si>
  <si>
    <t>Agua</t>
  </si>
  <si>
    <t>Alcantarillado</t>
  </si>
  <si>
    <t>Área del elemento constructivo</t>
  </si>
  <si>
    <t>Ri</t>
  </si>
  <si>
    <t>Aislamiento acústico especifico</t>
  </si>
  <si>
    <t>sum Si</t>
  </si>
  <si>
    <t>RG</t>
  </si>
  <si>
    <t>A9.b</t>
  </si>
  <si>
    <t>Sin biocidas en espacios interiores</t>
  </si>
  <si>
    <t>Recinto acondicionado</t>
  </si>
  <si>
    <t>Contiene Biocidas</t>
  </si>
  <si>
    <t>T2</t>
  </si>
  <si>
    <t>Autoproducción de energía</t>
  </si>
  <si>
    <t>Superficie de cubierta</t>
  </si>
  <si>
    <t>Completar</t>
  </si>
  <si>
    <t>1. Completar superficie de cubierta</t>
  </si>
  <si>
    <t>Tipo de Sistema de generación de energía</t>
  </si>
  <si>
    <t>2. Desplegar opción de Sistema de generación de energía. Opción "Mixto" Permite combinar Sistema de generación Fotovoltaica y calefactor Solar</t>
  </si>
  <si>
    <t>Tipo de energético para cocina</t>
  </si>
  <si>
    <t>3. Desplegar tipo de energético para cocina</t>
  </si>
  <si>
    <t>Tipo de energético para cocina sist. mixto</t>
  </si>
  <si>
    <t>Eléctricidad. CS</t>
  </si>
  <si>
    <t>4. Desplegar solo en caso que se use Opción 4 (Mixto)</t>
  </si>
  <si>
    <t>Compensación de Cocina por gas</t>
  </si>
  <si>
    <r>
      <t xml:space="preserve">5. Recordar que para el caso de </t>
    </r>
    <r>
      <rPr>
        <b/>
        <sz val="10"/>
        <color theme="0"/>
        <rFont val="Arial"/>
        <family val="2"/>
      </rPr>
      <t>Oficinas no se permite compensar el uso de cocina a gas</t>
    </r>
  </si>
  <si>
    <t>Evaluación de cumplimiento T2 (Obligatorio)</t>
  </si>
  <si>
    <t>Opción 1</t>
  </si>
  <si>
    <t>A) Sistema Fotovoltaico (FV)</t>
  </si>
  <si>
    <t>Superficie panel</t>
  </si>
  <si>
    <t>1. Completar con superficie de panel desde ficha técnica del proveedor</t>
  </si>
  <si>
    <t xml:space="preserve">Cantidad </t>
  </si>
  <si>
    <t>2. Completar cantidad de paneles a instalar en el proyecto</t>
  </si>
  <si>
    <t>Superficie destinada a paneles</t>
  </si>
  <si>
    <t>Tipo de edificación</t>
  </si>
  <si>
    <t>Edificio en altura (Viviendas, Oficinas, educacional)</t>
  </si>
  <si>
    <t xml:space="preserve">3. Desplegar tipo de edificación </t>
  </si>
  <si>
    <t>Potencia mínima requerida (FV)</t>
  </si>
  <si>
    <t>Potencia instalada</t>
  </si>
  <si>
    <t xml:space="preserve">Potencia de 1 panel </t>
  </si>
  <si>
    <t>4. Completar potencia de panel kWp desde ficha técnica de proveedor</t>
  </si>
  <si>
    <t>Potencial eléctrico fotovoltaico del sistema</t>
  </si>
  <si>
    <t>Potencial Eléctrico instalado</t>
  </si>
  <si>
    <t xml:space="preserve">Evaluación </t>
  </si>
  <si>
    <t>Sin Excepción</t>
  </si>
  <si>
    <t>celda necesaria</t>
  </si>
  <si>
    <t>En el caso de edificios en altura  en los que el valor mínimo supere la superficie de cubierta, se deberá considerar el uso para la instalación fotovoltaica de toda la superficie de cubierta disponible, debiendo ser de al menos la mitad de la superficie total de la cubierta</t>
  </si>
  <si>
    <t>En caso de no cumplimiento, se presenta la cantidad de paneles requeridos para cumplimiento</t>
  </si>
  <si>
    <t>Cantidad paneles faltantes para cumplimiento</t>
  </si>
  <si>
    <t>Opción 2</t>
  </si>
  <si>
    <t>B) Colectores Solares</t>
  </si>
  <si>
    <t>Superficie Colector solar</t>
  </si>
  <si>
    <t>1. Completar superficie en m2 del colector solar</t>
  </si>
  <si>
    <t>2. Completar cantidad de colectores solares</t>
  </si>
  <si>
    <t xml:space="preserve">Superficie Mínimo de absorción 
del Colector </t>
  </si>
  <si>
    <t>Colector instalado</t>
  </si>
  <si>
    <t>Superficie Colector Solar</t>
  </si>
  <si>
    <t>Dimensión Colector instalado</t>
  </si>
  <si>
    <t>Opción 3</t>
  </si>
  <si>
    <t>C) Otro sistema</t>
  </si>
  <si>
    <t>Potencia Sistema Instalado</t>
  </si>
  <si>
    <t>1. Completar potencia del sistema instalado justificando cálculos por medio de memoria técnica</t>
  </si>
  <si>
    <t>Dimensión Sistema instalado</t>
  </si>
  <si>
    <t>Opción 4</t>
  </si>
  <si>
    <t>D) Mixto: Sistema Fotovoltaico, Colectores solares y otros</t>
  </si>
  <si>
    <t>Edificio en altura</t>
  </si>
  <si>
    <t>Es necesario?</t>
  </si>
  <si>
    <t>Celdas ocultas necesrias</t>
  </si>
  <si>
    <t>Cálculara de acuerdo a FV</t>
  </si>
  <si>
    <t>Celdas necesarias</t>
  </si>
  <si>
    <t>Potencia FV instalada</t>
  </si>
  <si>
    <t>Factores sis. Energetico</t>
  </si>
  <si>
    <t xml:space="preserve">Potencia panel </t>
  </si>
  <si>
    <t>Elección del tipo de Sistema primario</t>
  </si>
  <si>
    <t>Sistema de generación Fotovoltaico</t>
  </si>
  <si>
    <t>5. Desplegar si se utilizará Sistema de generación Fotovoltaica u Otro sistema</t>
  </si>
  <si>
    <t>Potencial eléctrico fotovoltaico</t>
  </si>
  <si>
    <t>6. Completar potencia del sistema instalado, respaldar mediante memoria de cálculo</t>
  </si>
  <si>
    <t>Si aplica la excepción, tendrá que cubrir el otro 50% con colector</t>
  </si>
  <si>
    <t>Superficie restante por cubrir</t>
  </si>
  <si>
    <t>Cálculará de acuerdo a CS</t>
  </si>
  <si>
    <t>Otro</t>
  </si>
  <si>
    <t>Colector solar instalado</t>
  </si>
  <si>
    <t>Superficie Colector solar instalado</t>
  </si>
  <si>
    <t>7. Completar superficie en m2 del colector solar</t>
  </si>
  <si>
    <t>8. Completar cantidad de colectores solares</t>
  </si>
  <si>
    <t>En caso de no cumplimiento, se presenta la cantidad de colectores requeridos para cumplimiento</t>
  </si>
  <si>
    <t>Cantidad colectores faltantes para cumplimiento</t>
  </si>
  <si>
    <t>Dimensionamiento Sistema Mixto</t>
  </si>
  <si>
    <t>Evaluación de cumplimiento T2.a (Electivo)</t>
  </si>
  <si>
    <t>Opciones de cumplimiento</t>
  </si>
  <si>
    <t>Neteo energía</t>
  </si>
  <si>
    <t>1. Desplegar Alternativa de cumplimiento, si será mediante superficie del 100% de cubierta o neteo de energia</t>
  </si>
  <si>
    <t>Alternativa 1
T2.a</t>
  </si>
  <si>
    <t>Superficie cubierta</t>
  </si>
  <si>
    <t>Área de cubierta para otros usos tales como terrazas habitables, espacios reservados para otras instalaciones o techos verdes.
(m2)</t>
  </si>
  <si>
    <t>2. Indicar si cubierta posee otros usos tales como terrazas habitables, espacio reservado a otras instalaciones o techos verdes intensivos. Se evaluará si corresponde a 2/3</t>
  </si>
  <si>
    <t>Potencial</t>
  </si>
  <si>
    <t>Superficie paneles</t>
  </si>
  <si>
    <t xml:space="preserve">Requerimiento Mínimo </t>
  </si>
  <si>
    <t>Potencial Eléctrico instalado Excepción</t>
  </si>
  <si>
    <t>Evaluación requerimiento</t>
  </si>
  <si>
    <t>Alternativa 2
T2.a</t>
  </si>
  <si>
    <t>Consumo total</t>
  </si>
  <si>
    <t>kWh/año</t>
  </si>
  <si>
    <t>2. O, Completar consumo total de energía kWh/año, justificación por mediante memoria de cálculo</t>
  </si>
  <si>
    <t>Producción de energia en el sitio</t>
  </si>
  <si>
    <t>3. Completar producción de energía en el sitio, justificación mediante memoria de cálculo</t>
  </si>
  <si>
    <t>TABLAS USADAS</t>
  </si>
  <si>
    <t>Tipo1</t>
  </si>
  <si>
    <t>tipo 2</t>
  </si>
  <si>
    <t>Edificación baja (Vivienda, oficina o educacional)</t>
  </si>
  <si>
    <r>
      <t>Energeticos Sistema</t>
    </r>
    <r>
      <rPr>
        <sz val="10"/>
        <color theme="0"/>
        <rFont val="Arial"/>
        <family val="2"/>
      </rPr>
      <t>.Fotovoltaico</t>
    </r>
  </si>
  <si>
    <t>Tipo de cocina</t>
  </si>
  <si>
    <t>Requerimiento</t>
  </si>
  <si>
    <t>unidad</t>
  </si>
  <si>
    <t>Gas. FV</t>
  </si>
  <si>
    <t>Eléctricidad. FV</t>
  </si>
  <si>
    <t>Energeticos Colector.solar</t>
  </si>
  <si>
    <t>Gas. CS</t>
  </si>
  <si>
    <t>m2/m2</t>
  </si>
  <si>
    <t>Tipos de generaciónde energía</t>
  </si>
  <si>
    <r>
      <t>Sistema</t>
    </r>
    <r>
      <rPr>
        <sz val="10"/>
        <color theme="4"/>
        <rFont val="Arial"/>
        <family val="2"/>
      </rPr>
      <t>.</t>
    </r>
    <r>
      <rPr>
        <sz val="10"/>
        <color theme="1"/>
        <rFont val="Arial"/>
        <family val="2"/>
      </rPr>
      <t>Fotovoltaico</t>
    </r>
  </si>
  <si>
    <t>Colector.solar</t>
  </si>
  <si>
    <t>Otros.sistemas</t>
  </si>
  <si>
    <t>Mixto</t>
  </si>
  <si>
    <t>SOLO OPCIÓN 4</t>
  </si>
  <si>
    <t>T3</t>
  </si>
  <si>
    <t>Electrodomésticos e iluminación eficientes (Oficinas y C. Educativos)</t>
  </si>
  <si>
    <t>LUMINARIAS POR RECINTO</t>
  </si>
  <si>
    <t>Recinto o espacio exterior</t>
  </si>
  <si>
    <t>Tipo de luminaria</t>
  </si>
  <si>
    <t>Calidad lumínica mínima por Normativa local (lux)</t>
  </si>
  <si>
    <t>Calidad lumínica planeada (lux)</t>
  </si>
  <si>
    <t>Superficie del recinto o espacio exterior (m2)</t>
  </si>
  <si>
    <t>Potencia instalada (W)</t>
  </si>
  <si>
    <t>Cumple con potencia</t>
  </si>
  <si>
    <t>- Las luminarias deben ser LED, respetar la calidad lumínica de la normativa local y tener una potencia máxima instalada de 8 W/m2.
- Se puede agrupar por tipologías de recintos con la misma potencia instalada, como por ejemplo salas de clases, oficinas, etc.
- Se deben considerar todos los recintos y espacios exteriores del proyecto (incluido estacionamiento y espacios de circulación)</t>
  </si>
  <si>
    <t>AUTOMATIZACIÓN  LUZ OPCIÓN 1</t>
  </si>
  <si>
    <t>CUMPLIMIENTO OPCIÓN 1</t>
  </si>
  <si>
    <t>- Este requerimiento solo cumple si se cubre con la automatización al menos en un 80% de la potencia total instalada en todos los recintos.</t>
  </si>
  <si>
    <t>Sistema de automatización por grupo de luminarias</t>
  </si>
  <si>
    <t>Potencia cubierta (W)</t>
  </si>
  <si>
    <t>Potencia total proyecto (W)</t>
  </si>
  <si>
    <t>Potencia cubierta por automatización</t>
  </si>
  <si>
    <t>AUTOMATIZACIÓN LUZ OPCIÓN 2</t>
  </si>
  <si>
    <t>CUMPLIMIENTO OPCIÓN 2</t>
  </si>
  <si>
    <t>- Si no se cumple con la opción 1 puede cumplir con la opción 2, o viceversa. 
- Para la opción 2 el 100% de los Recintos Regularmente Ocupados (RRO) deben tener automatización en su sistema de iluminación</t>
  </si>
  <si>
    <t>Cantidad de RRO</t>
  </si>
  <si>
    <t>Cantidad cubierta por automatización</t>
  </si>
  <si>
    <t>RRO total proyecto</t>
  </si>
  <si>
    <t>T4</t>
  </si>
  <si>
    <t>Ventilación constante para un ambiente interior confortable y sano (Oficinas y C.Educativos)</t>
  </si>
  <si>
    <t>Caudales mínimos</t>
  </si>
  <si>
    <r>
      <t>Ayuda conversión l/s a m</t>
    </r>
    <r>
      <rPr>
        <b/>
        <vertAlign val="superscript"/>
        <sz val="10"/>
        <color theme="1"/>
        <rFont val="Arial"/>
        <family val="2"/>
      </rPr>
      <t>3</t>
    </r>
    <r>
      <rPr>
        <b/>
        <sz val="10"/>
        <color theme="1"/>
        <rFont val="Arial"/>
        <family val="2"/>
      </rPr>
      <t>h</t>
    </r>
  </si>
  <si>
    <t>Recinto con relevancia confort/salud</t>
  </si>
  <si>
    <t>N° personas</t>
  </si>
  <si>
    <t>Caudal según Norma local de tasa de ventilación o ASHRAE 62.1( l/s m2)</t>
  </si>
  <si>
    <t>Caudal según Norma local de tasa de ventilación o ASHRAE 62.1 (L/s persona)</t>
  </si>
  <si>
    <t>Requerimiento mínimo Minergie</t>
  </si>
  <si>
    <t>Ventilación proyectada
l/s</t>
  </si>
  <si>
    <t>Evaluación requerimiento
(un 30% más que la norma o que ASHRAE)</t>
  </si>
  <si>
    <r>
      <t>m</t>
    </r>
    <r>
      <rPr>
        <vertAlign val="superscript"/>
        <sz val="10"/>
        <color theme="1"/>
        <rFont val="Arial"/>
        <family val="2"/>
      </rPr>
      <t>3</t>
    </r>
    <r>
      <rPr>
        <sz val="10"/>
        <color theme="1"/>
        <rFont val="Arial"/>
        <family val="2"/>
      </rPr>
      <t>h</t>
    </r>
  </si>
  <si>
    <t>l/s</t>
  </si>
  <si>
    <t xml:space="preserve">
Se puede agrupar la información por tipologías de recintos con el mismo caudal como por ejemplo salas de clases, oficinas, etc.</t>
  </si>
  <si>
    <t>Tabla ASHRAE 62.1 en caso de no contar con Normativa Local:</t>
  </si>
  <si>
    <t>T6</t>
  </si>
  <si>
    <t>Uso eficiente de agua</t>
  </si>
  <si>
    <t>Zonas Chile: Todas, con refuerzo en las zonas A, B, C, D y E</t>
  </si>
  <si>
    <t>Zonas ASHRAE: Todas, con refuerzo en las zonas 0B, 1B, 2B y 3B</t>
  </si>
  <si>
    <t>Inodoro</t>
  </si>
  <si>
    <t>Lugar de instalación en la edificación</t>
  </si>
  <si>
    <t>Botón de cantidad pequeña</t>
  </si>
  <si>
    <t>Volumen de descarga 
(Litros)</t>
  </si>
  <si>
    <t>CHILE y LATAM</t>
  </si>
  <si>
    <t>Griferia</t>
  </si>
  <si>
    <t>Caudal (Litros/minutos)</t>
  </si>
  <si>
    <t>Caudal máximo
(Litros/minutos)</t>
  </si>
  <si>
    <t>Temporizador</t>
  </si>
  <si>
    <r>
      <t>Para</t>
    </r>
    <r>
      <rPr>
        <b/>
        <sz val="10"/>
        <color theme="0"/>
        <rFont val="Arial"/>
        <family val="2"/>
      </rPr>
      <t xml:space="preserve"> Oficinas y C. Educativos </t>
    </r>
    <r>
      <rPr>
        <sz val="10"/>
        <color theme="0"/>
        <rFont val="Arial"/>
        <family val="2"/>
      </rPr>
      <t xml:space="preserve">es requisito el uso de </t>
    </r>
    <r>
      <rPr>
        <b/>
        <sz val="10"/>
        <color theme="0"/>
        <rFont val="Arial"/>
        <family val="2"/>
      </rPr>
      <t>Temporizador*</t>
    </r>
    <r>
      <rPr>
        <sz val="10"/>
        <color theme="0"/>
        <rFont val="Arial"/>
        <family val="2"/>
      </rPr>
      <t xml:space="preserve"> (sensores / botón de presión) en los lavamanos y en las duchas, exceptuando las llaves de las cocinas y de los espacios de lavado constante a mano.
Si el recinto a evaluar es</t>
    </r>
    <r>
      <rPr>
        <b/>
        <sz val="10"/>
        <color theme="0"/>
        <rFont val="Arial"/>
        <family val="2"/>
      </rPr>
      <t xml:space="preserve"> Vivienda</t>
    </r>
    <r>
      <rPr>
        <sz val="10"/>
        <color theme="0"/>
        <rFont val="Arial"/>
        <family val="2"/>
      </rPr>
      <t>, utilizar opción No Aplica, así tambien si la grifería de Oficinas o C. Educativos no corresponde a lavamanos o duchas.</t>
    </r>
  </si>
  <si>
    <t>Chile y LATAM</t>
  </si>
  <si>
    <t>L/minuto</t>
  </si>
  <si>
    <t>Llave fuera de la cocina</t>
  </si>
  <si>
    <t>Llave de la cocina</t>
  </si>
  <si>
    <t>Ducha/tina</t>
  </si>
  <si>
    <t>MÉXICO</t>
  </si>
  <si>
    <t>México</t>
  </si>
  <si>
    <t>Grifos de baño</t>
  </si>
  <si>
    <t>Fregadero</t>
  </si>
  <si>
    <t>Regadera</t>
  </si>
  <si>
    <t>Ubicación del proyecto</t>
  </si>
  <si>
    <t>Demanda anual en agua</t>
  </si>
  <si>
    <t>Cantidad de agua lluvia local por año</t>
  </si>
  <si>
    <t>Información extraida desde:</t>
  </si>
  <si>
    <t>requisitos a 3 bares de presión</t>
  </si>
  <si>
    <r>
      <rPr>
        <b/>
        <sz val="10"/>
        <color theme="0"/>
        <rFont val="Arial"/>
        <family val="2"/>
      </rPr>
      <t xml:space="preserve">Concepto de uso eficiente del agua
</t>
    </r>
    <r>
      <rPr>
        <sz val="10"/>
        <color theme="0"/>
        <rFont val="Arial"/>
        <family val="2"/>
      </rPr>
      <t xml:space="preserve">Incluir fichas técnicas de artefactos, la evaluación de demanda anual de agua con su descripción, y los anexos necesarios que describan lo siguiente:
− Estrategias de reducción del uso de agua potable para el riego, incluido descripción del sistema de riego.
− Estrategias de captación, acumulación y uso del agua lluvia.
− Corta descripción de cómo se hace el tratamiento funcional del agua negra, de manera de regresar un agua limpia al ciclo natural de agua: dentro del propio terreno o conjunto o en el municipio.
− Descripción de las medidas para reducir la descarga de aguas residuales en las canalizaciones:
− Consideraciones respecto al tratamiento de las aguas grises.
</t>
    </r>
    <r>
      <rPr>
        <b/>
        <sz val="10"/>
        <color theme="0"/>
        <rFont val="Arial"/>
        <family val="2"/>
      </rPr>
      <t xml:space="preserve">
Cumplimiento de los requisitos de caudales máximos</t>
    </r>
    <r>
      <rPr>
        <sz val="10"/>
        <color theme="0"/>
        <rFont val="Arial"/>
        <family val="2"/>
      </rPr>
      <t xml:space="preserve">
Para el cumplimiento de los caudales máximo está autoriza el uso de aireadores mientras se entregue la ficha técnica de dicho aireador y se puede demostrar la reducción del caudal hasta el límite requerido. Se diferencian los caudales de las llaves de la cocina y de las fuera de la cocina porque en algunos países se requiere más caudal en la cocina que en los demás lavamanos.
</t>
    </r>
    <r>
      <rPr>
        <b/>
        <sz val="10"/>
        <color theme="0"/>
        <rFont val="Arial"/>
        <family val="2"/>
      </rPr>
      <t>Medidas de reducción del consumo de agua del sistema de riego</t>
    </r>
    <r>
      <rPr>
        <sz val="10"/>
        <color theme="0"/>
        <rFont val="Arial"/>
        <family val="2"/>
      </rPr>
      <t xml:space="preserve">
La implementación de una medida de reducción del consumo de agua del sistema de riego es obligatoria en las zonas climáticas ASHRAE 0B, 1B, 2B y 3B; o en Chile en las zonas climáticas A hasta E. Como medidas que permiten minimizar el consumo de agua, se reconocen los sistemas de riego automatizado siguientes:
− Riego por aspersión (regador de impacto, boquilla fija y rotores o rotores MP rotador)
− Microjet y micro-aspersores
− Goteo.
El riego por manguera o por sistemas de riego no automatizados está prohibido en las zonas climáticas mencionadas.</t>
    </r>
  </si>
  <si>
    <t>Paquetes constructivos (orden de capas de espacio evaluado a exterior u otro espacio )</t>
  </si>
  <si>
    <r>
      <t>kJ/m</t>
    </r>
    <r>
      <rPr>
        <vertAlign val="superscript"/>
        <sz val="11"/>
        <color theme="1"/>
        <rFont val="Calibri"/>
        <family val="2"/>
        <scheme val="minor"/>
      </rPr>
      <t>2</t>
    </r>
    <r>
      <rPr>
        <sz val="10"/>
        <color theme="1"/>
        <rFont val="Arial"/>
        <family val="2"/>
      </rPr>
      <t>K</t>
    </r>
  </si>
  <si>
    <t>Pisos / Entrepisos</t>
  </si>
  <si>
    <t>Paquete Piso</t>
  </si>
  <si>
    <t>Capacidad calorifica</t>
  </si>
  <si>
    <t>Biblioteca.Minergie.Paquetes</t>
  </si>
  <si>
    <t>PAQUETES DE PISO</t>
  </si>
  <si>
    <t>P1</t>
  </si>
  <si>
    <t>Cerámica + Sobrelosa concreto 6cm + barrera de vapor + Aislación térmica 12cm + Barrera Humedad + Radier Hormigón Armado 20cm + Barrera humedad + Ripio 10cm</t>
  </si>
  <si>
    <t>LSC</t>
  </si>
  <si>
    <t>P1.  Cerámica + Sobrelosa concreto 6cm + barrera de vapor + Aislación térmica 12cm + Barrera Humedad + Radier Hormigón Armado 20cm + Barrera humedad + Ripio 10cm</t>
  </si>
  <si>
    <t>255</t>
  </si>
  <si>
    <t>P2</t>
  </si>
  <si>
    <t>Radier de Hormigón Armado 10cm + Aislación térmica 12cm + polietileno 0,2mm + Ripio 10cm</t>
  </si>
  <si>
    <t>Casa Covarrubias</t>
  </si>
  <si>
    <t>P2.  Radier de Hormigón Armado 10cm + Aislación térmica 12cm + polietileno 0,2mm + Ripio 10cm</t>
  </si>
  <si>
    <t>P3</t>
  </si>
  <si>
    <t>Ceramicas + sobrelosa concreto 3cm + aislación 2cm + Losa HA 15cm + Aislación 10cm</t>
  </si>
  <si>
    <t>Burgos piso 1</t>
  </si>
  <si>
    <t>P3.  Ceramicas + sobrelosa concreto 3cm + aislación 2cm + Losa HA 15cm + Aislación 10cm</t>
  </si>
  <si>
    <t>P4</t>
  </si>
  <si>
    <t>Ceramicas + lámina de corcho + sobrelosa concreto 8cm + terciado 18mm + aislación 12cm + plancha yesocartón 15mm + terciado 18mm</t>
  </si>
  <si>
    <t>Burgos entre pisos</t>
  </si>
  <si>
    <t>P4.  Ceramicas + lámina de corcho + sobrelosa concreto 8cm + terciado 18mm + aislación 12cm + plancha yesocartón 15mm + terciado 18mm</t>
  </si>
  <si>
    <t>P5</t>
  </si>
  <si>
    <t>Cerámica + sobrelosa concreto 3cm + Losa hormigón armado 10cm + polietileno + CLT 17cm</t>
  </si>
  <si>
    <t>E. Tamango</t>
  </si>
  <si>
    <t>P5.  Cerámica + sobrelosa concreto 3cm + Losa hormigón armado 10cm + polietileno + CLT 17cm</t>
  </si>
  <si>
    <t>P6</t>
  </si>
  <si>
    <t>Losa hormigón armado 15cm + Ripio 50mm</t>
  </si>
  <si>
    <t>P6.  Losa hormigón armado 15cm + Ripio 50mm</t>
  </si>
  <si>
    <t>P7</t>
  </si>
  <si>
    <t>Cerámica + Losa hormigón armado 10cm + polietileno + Ripio 50mm</t>
  </si>
  <si>
    <t>P7.  Cerámica + Losa hormigón armado 10cm + polietileno + Ripio 50mm</t>
  </si>
  <si>
    <t>P8</t>
  </si>
  <si>
    <t>Losa Hormigón Armado 12cm + aislación térmica 80mm + polietileno</t>
  </si>
  <si>
    <t>1.3. M. A4.4</t>
  </si>
  <si>
    <t>P8.  Losa Hormigón Armado 12cm + aislación térmica 80mm + polietileno</t>
  </si>
  <si>
    <t xml:space="preserve">Cielos y cubiertas.  </t>
  </si>
  <si>
    <t>Cielos y cubiertas</t>
  </si>
  <si>
    <t>kJ/m2K</t>
  </si>
  <si>
    <t>PAQUETE CIELOS Y CUBIERTAS</t>
  </si>
  <si>
    <t>C1</t>
  </si>
  <si>
    <t>Plancha Yeso Cartón de 10 mm en listoneado de madera 2x2" + estructura cerchas y costaneras de madera + cámara de aire entre plancha de cielo y aislante 50mm + Aislación Poliestireno Expandido sobre listoneado 117mm + cámara de aire variable semi ventilada + barrera de humedad + terminación plancha de fibrocemento 4mm</t>
  </si>
  <si>
    <t>LSC (1.1.M.A1.2)</t>
  </si>
  <si>
    <t xml:space="preserve">C1.  Plancha Yeso Cartón de 10 mm en listoneado de madera 2x2" + estructura cerchas y costaneras de madera + cámara de aire entre plancha de cielo y aislante 50mm </t>
  </si>
  <si>
    <t>C2</t>
  </si>
  <si>
    <t>Panel TECHOLISTO, Plancha yesocartón 10mm + plancha de acero 0,5mm +  poliestireno expandido 120mm + plancha acero 0,5 mm prepintada con 5 μ de primer y 20 μ de pintura de terminación.</t>
  </si>
  <si>
    <t>LSC (1.1.M.C3.2)</t>
  </si>
  <si>
    <t>C2.  Panel TECHOLISTO, Plancha yesocartón 10mm + plancha de acero 0,5mm +  poliestireno expandido 120mm + plancha acero 0,5 mm prepintada con 5 μ de primer y 20 μ de pintura de terminación.</t>
  </si>
  <si>
    <t>C3</t>
  </si>
  <si>
    <t>Plancha yesocartón 10mm + Aislación Poliestireno Expandido 100mm con perfiles metálicos incorporados + Malla de acero electrosoldada + Losa de hormigón espesor promedio 65mm + Sobrelosa de hormigón liviano 30mm</t>
  </si>
  <si>
    <t>LSC (1.3.M.A1)</t>
  </si>
  <si>
    <t>C3.  Plancha yesocartón 10mm + Aislación Poliestireno Expandido 100mm con perfiles metálicos incorporados + Malla de acero electrosoldada + Losa de hormigón espesor promedio 65mm + Sobrelosa de hormigón liviano 30mm</t>
  </si>
  <si>
    <t>C4</t>
  </si>
  <si>
    <t>Losa de Hormigón Armado 100mm + Plancha Poliestireno Expandido 110mm + Sobrelosa Hormigón Liviano 30mm</t>
  </si>
  <si>
    <t>LSC (1.3.M.A4.1)</t>
  </si>
  <si>
    <t>C4.  Losa de Hormigón Armado 100mm + Plancha Poliestireno Expandido 110mm + Sobrelosa Hormigón Liviano 30mm</t>
  </si>
  <si>
    <t>C5</t>
  </si>
  <si>
    <t>Plancha yesocartón 10mm + Aislación Poliestireno Expandido 100mm + Losa de Hormigón Armado 100mm + Sobrelosa Hormigón Liviano 30mm</t>
  </si>
  <si>
    <t>Solución común</t>
  </si>
  <si>
    <t>C5.  Plancha yesocartón 10mm + Aislación Poliestireno Expandido 100mm + Losa de Hormigón Armado 100mm + Sobrelosa Hormigón Liviano 30mm</t>
  </si>
  <si>
    <t>C6</t>
  </si>
  <si>
    <t>Plancha yesocartón 10mm + Losa de Hormigón Armado 100mm + Porcelanato 10mm</t>
  </si>
  <si>
    <t>C6.  Plancha yesocartón 10mm + Losa de Hormigón Armado 100mm + Porcelanato 10mm</t>
  </si>
  <si>
    <t>C7</t>
  </si>
  <si>
    <t>Terciado 18mm + plancha yesocartón 15mm + aislación 12cm + terciado 18mm + sobrelosa concreto 8cm + lámina de corcho + cerámicas</t>
  </si>
  <si>
    <t>C7.  Terciado 18mm + plancha yesocartón 15mm + aislación 12cm + terciado 18mm + sobrelosa concreto 8cm + lámina de corcho + cerámicas</t>
  </si>
  <si>
    <t xml:space="preserve">Muros.  </t>
  </si>
  <si>
    <t>Muros</t>
  </si>
  <si>
    <t>PAQUETES MUROS</t>
  </si>
  <si>
    <t>M1</t>
  </si>
  <si>
    <t>Yesocartón 10mm + Albañilería 24cm + Aislación térmica 14cm + Cámara de aire 4cm con estructura de aluminio + Revestimiento de fachada</t>
  </si>
  <si>
    <t>M1.  Yesocartón 10mm + Albañilería 24cm + Aislación térmica 14cm + Cámara de aire 4cm con estructura de aluminio + Revestimiento de fachada</t>
  </si>
  <si>
    <t>M2</t>
  </si>
  <si>
    <t>OSB 15mm + Lana mineral 160mm + OSB 15mm + cámara de aire ventilada + Terminación exterior tipo siding</t>
  </si>
  <si>
    <t>M2.  OSB 15mm + Lana mineral 160mm + OSB 15mm + cámara de aire ventilada + Terminación exterior tipo siding</t>
  </si>
  <si>
    <t>M3</t>
  </si>
  <si>
    <t>Yesocartón + Ladrillos sólidos + cemento + mortero adhesivo y de refuerzo + aislante tablero de fibra de madera</t>
  </si>
  <si>
    <t>M3.  Yesocartón + Ladrillos sólidos + cemento + mortero adhesivo y de refuerzo + aislante tablero de fibra de madera</t>
  </si>
  <si>
    <t>M4</t>
  </si>
  <si>
    <t>Plancha yesocartón 10mm + Concreto hormigón 240mm + Estructura de madera con aislante de 100mm entre pies derechos + Membrana de vapor + cámara de aire + terminación tipo siding</t>
  </si>
  <si>
    <t>M4.  Plancha yesocartón 10mm + Concreto hormigón 240mm + Estructura de madera con aislante de 100mm entre pies derechos + Membrana de vapor + cámara de aire + terminación tipo siding</t>
  </si>
  <si>
    <t>M5</t>
  </si>
  <si>
    <t>Hormigón Armado 200mm + Aislante Poliestireno Expandido 80mm</t>
  </si>
  <si>
    <t>LSC (1.2.G.A6)</t>
  </si>
  <si>
    <t>M5.  Hormigón Armado 200mm + Aislante Poliestireno Expandido 80mm</t>
  </si>
  <si>
    <t>M6</t>
  </si>
  <si>
    <t>Mortero de cemento 20mm + Ladrillo hecho a máquina 143mm + Mortero de cemento 20mm</t>
  </si>
  <si>
    <t>LSC (1.2.G.B.A1.3)</t>
  </si>
  <si>
    <t>M6.  Mortero de cemento 20mm + Ladrillo hecho a máquina 143mm + Mortero de cemento 20mm</t>
  </si>
  <si>
    <t>M7</t>
  </si>
  <si>
    <t>Plancha de yesocartón 10mm + Aislante Poliestireno Expandido 30mm + Ladrillo hecho a máquina 143mm + mortero de cemento 20mm</t>
  </si>
  <si>
    <t>LSC (1.2.G.B.A1.9)</t>
  </si>
  <si>
    <t>M7.  Plancha de yesocartón 10mm + Aislante Poliestireno Expandido 30mm + Ladrillo hecho a máquina 143mm + mortero de cemento 20mm</t>
  </si>
  <si>
    <t>M8</t>
  </si>
  <si>
    <t>Mortero de cemento 20mm + Ladrillo hecho a máquina 143mm + Aislante Poliestireno Expandido 30mm + Plancha tesocartón 10mm</t>
  </si>
  <si>
    <t>M8.  Mortero de cemento 20mm + Ladrillo hecho a máquina 143mm + Aislante Poliestireno Expandido 30mm + Plancha tesocartón 10mm</t>
  </si>
  <si>
    <t>M9</t>
  </si>
  <si>
    <t>Plancha yesocartón 10mm + OSB 18mm + Aislación Poliestireno Expandido 120mm + Plancha yesocartón 10mm + Placa terciado madera pino 15mm + barrera de humedad + cámara ventilada 40mm + tinglado tabla termo tratada 18mm</t>
  </si>
  <si>
    <t>Burgos</t>
  </si>
  <si>
    <t>M9.  Plancha yesocartón 10mm + OSB 18mm + Aislación Poliestireno Expandido 120mm + Plancha yesocartón 10mm + Placa terciado madera pino 15mm + barrera de humedad + cámara ventilada 40mm + tinglado tabla termo tratada 18mm</t>
  </si>
  <si>
    <t>M10</t>
  </si>
  <si>
    <t>Capa estuco de mortero o enlucido de yeso 16mm + Aislación Poliestireno Expandido 60mm + barrera de humedad + Concreto hormigón 150mm</t>
  </si>
  <si>
    <t>M10.  Capa estuco de mortero o enlucido de yeso 16mm + Aislación Poliestireno Expandido 60mm + barrera de humedad + Concreto hormigón 150mm</t>
  </si>
  <si>
    <t>M11</t>
  </si>
  <si>
    <t>Plancha yesocartón 10mm + Terciado madera estructural 11,1mm + Aislante Lana de Vidrio 120mm con estructura pies derechos de madera + Plancha yesocartón 10mm + membrana hidrófuga + distanciadores horizontales madera pino + revestimiento metálico</t>
  </si>
  <si>
    <t>Tamango</t>
  </si>
  <si>
    <t>M11.  Plancha yesocartón 10mm + Terciado madera estructural 11,1mm + Aislante Lana de Vidrio 120mm con estructura pies derechos de madera + Plancha yesocartón 10mm + membrana hidrófuga + distanciadores horizontales madera pino + revestimiento metálico</t>
  </si>
  <si>
    <t>Tipo de uso</t>
  </si>
  <si>
    <t>edificación única</t>
  </si>
  <si>
    <t>Materiales pesados</t>
  </si>
  <si>
    <t>Tipos de abertura de ventanas</t>
  </si>
  <si>
    <t>edificación única en altura</t>
  </si>
  <si>
    <t>hormigón</t>
  </si>
  <si>
    <t>condominio</t>
  </si>
  <si>
    <t>piedra</t>
  </si>
  <si>
    <t>Proyectante</t>
  </si>
  <si>
    <t>adobe</t>
  </si>
  <si>
    <t>Abatible</t>
  </si>
  <si>
    <t>Ubicación</t>
  </si>
  <si>
    <t>Región de Arica y Parinacota.</t>
  </si>
  <si>
    <t>A</t>
  </si>
  <si>
    <t>cerámica</t>
  </si>
  <si>
    <t>Oscilo batiente</t>
  </si>
  <si>
    <t>Región de Tarapacá.</t>
  </si>
  <si>
    <t>B</t>
  </si>
  <si>
    <t>Corredera</t>
  </si>
  <si>
    <t>Región de Antofagasta.</t>
  </si>
  <si>
    <t>C</t>
  </si>
  <si>
    <t>densidad</t>
  </si>
  <si>
    <t>calor especifico</t>
  </si>
  <si>
    <t>conductividad</t>
  </si>
  <si>
    <t>Región de Atacama.</t>
  </si>
  <si>
    <t>D</t>
  </si>
  <si>
    <t>Adobe</t>
  </si>
  <si>
    <t>Región de Coquimbo.</t>
  </si>
  <si>
    <t>E</t>
  </si>
  <si>
    <t>Aluminio</t>
  </si>
  <si>
    <t>Región de Valparaíso.</t>
  </si>
  <si>
    <t>F</t>
  </si>
  <si>
    <t>Enlucido yeso</t>
  </si>
  <si>
    <t>Región Metropolitana de Santiago.</t>
  </si>
  <si>
    <t>Región del Libertador General Bernardo O’Higgins.</t>
  </si>
  <si>
    <t>H</t>
  </si>
  <si>
    <t>Fibrocemento</t>
  </si>
  <si>
    <t>Región del Maule.</t>
  </si>
  <si>
    <t>I</t>
  </si>
  <si>
    <t>HA normal</t>
  </si>
  <si>
    <t>Región del Ñuble.</t>
  </si>
  <si>
    <t>HA con aridos ligeros</t>
  </si>
  <si>
    <t>Región del Biobío.</t>
  </si>
  <si>
    <t>Hormigón celular con áridos siliceos</t>
  </si>
  <si>
    <t>Región de La Araucanía.</t>
  </si>
  <si>
    <t>Hormigón con cenizas</t>
  </si>
  <si>
    <t>Región de Los Ríos.</t>
  </si>
  <si>
    <t>Hormigón con escorias de altos hornos</t>
  </si>
  <si>
    <t>Región de Los Lagos.</t>
  </si>
  <si>
    <t>Ladrillo macizo hecho a máquina</t>
  </si>
  <si>
    <t>Región de Aysén del General Carlos Ibáñez del Campo.</t>
  </si>
  <si>
    <t>Lana mineral colchoneta libre</t>
  </si>
  <si>
    <t>Región de Magallanes y la Antártica Chilena.</t>
  </si>
  <si>
    <t>Madera alamo</t>
  </si>
  <si>
    <t>Madera alerce</t>
  </si>
  <si>
    <t>Madera coigüe</t>
  </si>
  <si>
    <t>Madera pino insigne</t>
  </si>
  <si>
    <t>Madera raulí</t>
  </si>
  <si>
    <t>Tableros aglomerados de particulas de madera</t>
  </si>
  <si>
    <t>Plancha de corcho</t>
  </si>
  <si>
    <t>CLT</t>
  </si>
  <si>
    <t>Fuente de energía</t>
  </si>
  <si>
    <t>Factor de emisión KgCO2/KWh</t>
  </si>
  <si>
    <t>País</t>
  </si>
  <si>
    <t>CH_Electricidad</t>
  </si>
  <si>
    <t>Chile</t>
  </si>
  <si>
    <t>https://www.coordinador.cl/renova/renova-documentos/</t>
  </si>
  <si>
    <t xml:space="preserve">MEX_Electricidad </t>
  </si>
  <si>
    <t>Gas licuado (GLP)</t>
  </si>
  <si>
    <t>IPCC 2006</t>
  </si>
  <si>
    <t>Gas natural (GN)</t>
  </si>
  <si>
    <t>Pellet</t>
  </si>
  <si>
    <t>IPCC 2006 (descuenta CO2 para evitar doble conteo)</t>
  </si>
  <si>
    <t>ERNC (electricidad)</t>
  </si>
  <si>
    <t>Energético</t>
  </si>
  <si>
    <t>Tipo.Energético.Minergie</t>
  </si>
  <si>
    <t>Tipo.Energético.Personal</t>
  </si>
  <si>
    <t>Opciones</t>
  </si>
  <si>
    <t>Presente</t>
  </si>
  <si>
    <t>Ausente</t>
  </si>
  <si>
    <t>Grupos de elementos</t>
  </si>
  <si>
    <r>
      <t xml:space="preserve">Subestructura </t>
    </r>
    <r>
      <rPr>
        <i/>
        <sz val="8"/>
        <color theme="1"/>
        <rFont val="Arial"/>
        <family val="2"/>
      </rPr>
      <t>(Fundaciones, cimientos, sobrecimientos, aislación barrera de humedad. Todo lo referido a materiales bajo el nivel de terreno)</t>
    </r>
  </si>
  <si>
    <t>Cimientos</t>
  </si>
  <si>
    <t>Poliestireno expandido</t>
  </si>
  <si>
    <t>EPDIE-18-16</t>
  </si>
  <si>
    <r>
      <t>Superestructura (</t>
    </r>
    <r>
      <rPr>
        <i/>
        <sz val="8"/>
        <color theme="1"/>
        <rFont val="Arial"/>
        <family val="2"/>
      </rPr>
      <t>Marcos, losas de entrepiso, techumbre, escaleras, rampas, muros exteriores, ventanas y puertas exteriores)</t>
    </r>
  </si>
  <si>
    <t>Sobrecimientos</t>
  </si>
  <si>
    <t>EIFS muros</t>
  </si>
  <si>
    <r>
      <t xml:space="preserve">MEP </t>
    </r>
    <r>
      <rPr>
        <i/>
        <sz val="10"/>
        <color theme="1"/>
        <rFont val="Arial"/>
        <family val="2"/>
      </rPr>
      <t>(Sistemas mecánicos de acondicionamiento, Sist, eléctricos, fontanería)</t>
    </r>
  </si>
  <si>
    <t>Aislamiento</t>
  </si>
  <si>
    <t>Lana de vidrio 160mm</t>
  </si>
  <si>
    <t>Barrera de Humedad</t>
  </si>
  <si>
    <t>_Lana de vidrio_Aislanglass (50 mm)</t>
  </si>
  <si>
    <t>S-P-05623</t>
  </si>
  <si>
    <t>Pilares / vigas</t>
  </si>
  <si>
    <t>Lana de vidrio 50mm</t>
  </si>
  <si>
    <t>S-P-05626</t>
  </si>
  <si>
    <t>Losas / piso</t>
  </si>
  <si>
    <t>Relleno</t>
  </si>
  <si>
    <t>m3</t>
  </si>
  <si>
    <t>Techumbre</t>
  </si>
  <si>
    <t>Estructura metalcón</t>
  </si>
  <si>
    <t>S-P-05012</t>
  </si>
  <si>
    <t>Muros envolvente</t>
  </si>
  <si>
    <t>Plancha volcanita 15mm</t>
  </si>
  <si>
    <t>S-P-05624</t>
  </si>
  <si>
    <t>Escaleras / rampas</t>
  </si>
  <si>
    <t>Plancha volcanita 10mm</t>
  </si>
  <si>
    <t>Ventanas /puertas</t>
  </si>
  <si>
    <t>Ventanas PVC</t>
  </si>
  <si>
    <t>MEP (Equipamiento)</t>
  </si>
  <si>
    <t xml:space="preserve">_Vidrios Plano 4 mm </t>
  </si>
  <si>
    <t>S-P-06326</t>
  </si>
  <si>
    <t>_Marcos PVC</t>
  </si>
  <si>
    <t>kg</t>
  </si>
  <si>
    <t>S-P-02003</t>
  </si>
  <si>
    <t>Puertas madera</t>
  </si>
  <si>
    <t>Impermeabilizante (membrana PVC)</t>
  </si>
  <si>
    <t>Pino radiata</t>
  </si>
  <si>
    <t>Madera CLT</t>
  </si>
  <si>
    <t>S-P-07432</t>
  </si>
  <si>
    <t>Plancha aluminio</t>
  </si>
  <si>
    <t>Plancha de madera terciada_CMPC</t>
  </si>
  <si>
    <t>S-P-02010</t>
  </si>
  <si>
    <t>Plancha de fibrocemento Siding</t>
  </si>
  <si>
    <t>S-P-05622</t>
  </si>
  <si>
    <t>Plancha de fibrocemento Tabique</t>
  </si>
  <si>
    <t>Plancha de OSB</t>
  </si>
  <si>
    <t>S-P-01850</t>
  </si>
  <si>
    <t>Placa MDF (fibra de madera)</t>
  </si>
  <si>
    <t>Poliuretano expandido</t>
  </si>
  <si>
    <t>Poliuretano proyectado</t>
  </si>
  <si>
    <t>Paneles sándwich metálicos aislantes para paredes, techos y cubiertas</t>
  </si>
  <si>
    <t>S-P-01233</t>
  </si>
  <si>
    <t>Ladrillo</t>
  </si>
  <si>
    <t>ton</t>
  </si>
  <si>
    <t>_Ladrillo con perforaciones</t>
  </si>
  <si>
    <t>MD-21057-EN</t>
  </si>
  <si>
    <t>Barras de refuerzo acero</t>
  </si>
  <si>
    <t>_Barra de refuerzo de acero_CAP Acero</t>
  </si>
  <si>
    <t>S-P-02002</t>
  </si>
  <si>
    <t>Perfiles de acero laminado</t>
  </si>
  <si>
    <t>Hormigón celular</t>
  </si>
  <si>
    <t>T1</t>
  </si>
  <si>
    <t>Concreto Ready Mix Mpa 35</t>
  </si>
  <si>
    <t>Tipo</t>
  </si>
  <si>
    <t>Eficiencia</t>
  </si>
  <si>
    <t>Hormigón G25</t>
  </si>
  <si>
    <t>S-P-01722</t>
  </si>
  <si>
    <t>Calefactor individual de leña</t>
  </si>
  <si>
    <t>Polietileno</t>
  </si>
  <si>
    <t>S-P-02989</t>
  </si>
  <si>
    <t>Calefacción individual de pellet</t>
  </si>
  <si>
    <t>Plancha de acero</t>
  </si>
  <si>
    <t>EPDIE-21-45</t>
  </si>
  <si>
    <t>Caldera central de leña</t>
  </si>
  <si>
    <t>Cerámicas piso y muros</t>
  </si>
  <si>
    <t>EPD10197</t>
  </si>
  <si>
    <t>Caldera central de Pellet</t>
  </si>
  <si>
    <t>Caldera a gas</t>
  </si>
  <si>
    <t>SCGA-00118-V01.01-FR, 33140</t>
  </si>
  <si>
    <t>.</t>
  </si>
  <si>
    <t>Bomba de calor aire-agua</t>
  </si>
  <si>
    <t>Pintura interior</t>
  </si>
  <si>
    <t>S-P-05758</t>
  </si>
  <si>
    <t>Bomba de calor agua-agua</t>
  </si>
  <si>
    <t>Piso laminado</t>
  </si>
  <si>
    <t>S-P-09368</t>
  </si>
  <si>
    <t>Bomba de calor terreno-agua</t>
  </si>
  <si>
    <t>Cocina a leña</t>
  </si>
  <si>
    <t>Cocina a gas</t>
  </si>
  <si>
    <t>Cocina eléctrica</t>
  </si>
  <si>
    <t>T2 Mapa radiación solar</t>
  </si>
  <si>
    <t>KWh/KWp * año</t>
  </si>
  <si>
    <t>GLP</t>
  </si>
  <si>
    <t>conama___gui__a_para_la_estimacio__n_de_emisiones___retc__.pdf (thermal.cl)</t>
  </si>
  <si>
    <t>KgCO2eq/Kg</t>
  </si>
  <si>
    <t>0.25</t>
  </si>
  <si>
    <t>kg CO2e / kWh</t>
  </si>
  <si>
    <t>3.19</t>
  </si>
  <si>
    <t>kg CO2e / kg</t>
  </si>
  <si>
    <t>OneClick</t>
  </si>
  <si>
    <t>Directrices del IPCC de 2006 para los inventarios nacionales de gases de efecto invernadero</t>
  </si>
  <si>
    <t>ELECTRICIDAD</t>
  </si>
  <si>
    <t>Factores de Emisión – Energía Abierta | Comisión Nacional de Energía (energiaabierta.cl)</t>
  </si>
  <si>
    <t>Última fecha disponible: Marzo 2022</t>
  </si>
  <si>
    <t> KgCO2eq/ KWh</t>
  </si>
  <si>
    <t>KgCO2eq/MWh</t>
  </si>
  <si>
    <t>KWh</t>
  </si>
  <si>
    <t>KgCO2eq/KWh</t>
  </si>
  <si>
    <t>Kg</t>
  </si>
  <si>
    <t>0.62</t>
  </si>
  <si>
    <t>PELLET</t>
  </si>
  <si>
    <t>Mundo</t>
  </si>
  <si>
    <t>Contenido carbono biogénico</t>
  </si>
  <si>
    <t>Francia</t>
  </si>
  <si>
    <t>Material.Biblioteca.Minergie</t>
  </si>
  <si>
    <t>Comentario</t>
  </si>
  <si>
    <t>Barra de refuerzo de acero_CAP Acero</t>
  </si>
  <si>
    <t xml:space="preserve">Arena </t>
  </si>
  <si>
    <t>S-P-06948</t>
  </si>
  <si>
    <t>Colombia</t>
  </si>
  <si>
    <t>Relleno Triturada 3/8"</t>
  </si>
  <si>
    <t>Relleno Triturada 1"</t>
  </si>
  <si>
    <t>Grava 1,45 ton/m3</t>
  </si>
  <si>
    <t>EPD-ND-CS_001</t>
  </si>
  <si>
    <t>Italia</t>
  </si>
  <si>
    <t>Ready-Mix Concrete G025 (Hormigón)</t>
  </si>
  <si>
    <t>Estructura metalcon</t>
  </si>
  <si>
    <t>Argentina</t>
  </si>
  <si>
    <t>S-P-00691</t>
  </si>
  <si>
    <t>Poliestireno expandido 100mm</t>
  </si>
  <si>
    <t>Irlanda</t>
  </si>
  <si>
    <t>Lana de vidrio_Aislanglass (50 mm)</t>
  </si>
  <si>
    <t>Plancha de fibrocemento Siding 6mm</t>
  </si>
  <si>
    <t>Plancha de fibrocemento Base cerámica 6mm</t>
  </si>
  <si>
    <t>Plancha de madera terciada_CMPC 6,5-25mm</t>
  </si>
  <si>
    <t>Plancha de OSB 9,5mm</t>
  </si>
  <si>
    <t>4788424634.101.1</t>
  </si>
  <si>
    <t>01-072025</t>
  </si>
  <si>
    <t>USA/Canada</t>
  </si>
  <si>
    <t>Placa MDF (fibra de madera) 3-25mm</t>
  </si>
  <si>
    <t>EPDIE-22-97</t>
  </si>
  <si>
    <t>Madera Laminada Pino Radiata 50mm</t>
  </si>
  <si>
    <t>4788424634.104.1</t>
  </si>
  <si>
    <t>Madera cepillada pino radiata</t>
  </si>
  <si>
    <t>S-P-08617</t>
  </si>
  <si>
    <t>Suecia</t>
  </si>
  <si>
    <t>Australia</t>
  </si>
  <si>
    <t>Panel sandwich con aislante poliuretano expandido_40 mm</t>
  </si>
  <si>
    <t>S-P-003362</t>
  </si>
  <si>
    <t>Global</t>
  </si>
  <si>
    <t>Panel sandwich con aislante poliuretano expandido_60 mm</t>
  </si>
  <si>
    <t>Panel sandwich con aislante poliuretano expandido_80 mm</t>
  </si>
  <si>
    <t>Ladrillo con perforaciones</t>
  </si>
  <si>
    <t>Dinamarca</t>
  </si>
  <si>
    <t>Plancha acero zincalume</t>
  </si>
  <si>
    <t>S-P-08456</t>
  </si>
  <si>
    <t>Perfil de acero (espesor 3 a 40 mm / largo 6 a 12 m)</t>
  </si>
  <si>
    <t>S-P-08495</t>
  </si>
  <si>
    <t>España</t>
  </si>
  <si>
    <t>NEPD-1535-525-EN</t>
  </si>
  <si>
    <t xml:space="preserve">Vidrios Plano 4 mm </t>
  </si>
  <si>
    <t>Marcos PVC</t>
  </si>
  <si>
    <t>Ventana marco PVC y DVH</t>
  </si>
  <si>
    <t>S-P-06115</t>
  </si>
  <si>
    <t>Radiador secatoallas con agua caliente 844W</t>
  </si>
  <si>
    <t>kw</t>
  </si>
  <si>
    <t>SCGA-00081-V01.01-FR</t>
  </si>
  <si>
    <t>Radiador secatoallas con aguacaliente 844W (unidad)</t>
  </si>
  <si>
    <t>Radiador con agua caliente 1,019kw</t>
  </si>
  <si>
    <t>CHAP-00002-V01.01-FR</t>
  </si>
  <si>
    <t>Radiador con agua caliente 1,019kw (unidad)</t>
  </si>
  <si>
    <t>Acumulador ACS 200 lts</t>
  </si>
  <si>
    <t>SCGA-00091-V01.01-FR</t>
  </si>
  <si>
    <t>Caldera ACS a gas 16kw</t>
  </si>
  <si>
    <t>CHAP-00011-V01.02-EN</t>
  </si>
  <si>
    <t>Caldera ACS a gas 16kw (unidad)</t>
  </si>
  <si>
    <t>Pintura interior al agua baja en COV</t>
  </si>
  <si>
    <t>Piso laminado 12mm</t>
  </si>
  <si>
    <t>Europa</t>
  </si>
  <si>
    <t>Celulosa proyectada</t>
  </si>
  <si>
    <t>EPDIE-20-24</t>
  </si>
  <si>
    <t>Bomba de calor aire-agua frío o calor 4,89kw</t>
  </si>
  <si>
    <t>ALDE-00011-V01.01-FR</t>
  </si>
  <si>
    <t>Bomba de calor aire-agua frío o calor 4,89kw (unidad)</t>
  </si>
  <si>
    <t>Calentador eléctrico de ACS</t>
  </si>
  <si>
    <t>HITA-00001-V01.01-FR</t>
  </si>
  <si>
    <t>Refrigerante R32 ok</t>
  </si>
  <si>
    <t>Panel fotovoltaico 423Wp</t>
  </si>
  <si>
    <t>VSOL-00004-V01.01-FR</t>
  </si>
  <si>
    <t>Fancoil (potencia de calor 0,8-17KW y de frío 0,6-12KW)</t>
  </si>
  <si>
    <t>CARR-10006-V02.01-FR</t>
  </si>
  <si>
    <t>Para 2 ductos o 4 ductos (refrigeracion y calefacción)</t>
  </si>
  <si>
    <t>Extractor / Ventilador (independiente) caudal 42m3/h</t>
  </si>
  <si>
    <t>UNIC-00031-V01.01-FR</t>
  </si>
  <si>
    <t>Francia (INIES)</t>
  </si>
  <si>
    <t>Unidad = 41,64 m3/h</t>
  </si>
  <si>
    <t>Ascensor (5 pisos)</t>
  </si>
  <si>
    <t>RTS_66_20</t>
  </si>
  <si>
    <t>Finlandia</t>
  </si>
  <si>
    <t>Caldera biomasa 8kw</t>
  </si>
  <si>
    <t>FLVE-00003-V01.02-FR</t>
  </si>
  <si>
    <t>Caldera biomasa 8kw (unidad)</t>
  </si>
  <si>
    <t>Biblioteca Minergie</t>
  </si>
  <si>
    <t>balblabla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</si>
</sst>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 * #,##0_ ;_ * \-#,##0_ ;_ * &quot;-&quot;_ ;_ @_ "/>
    <numFmt numFmtId="165" formatCode="0.0"/>
    <numFmt numFmtId="166" formatCode="0.000"/>
    <numFmt numFmtId="167" formatCode="_ * #,##0.00_ ;_ * \-#,##0.00_ ;_ * &quot;-&quot;_ ;_ @_ "/>
    <numFmt numFmtId="168" formatCode="0\ \°"/>
    <numFmt numFmtId="169" formatCode="0.00\ &quot;m2&quot;"/>
    <numFmt numFmtId="170" formatCode="General\ &quot;dB(A)&quot;"/>
    <numFmt numFmtId="171" formatCode="0.0\ &quot;dB(A)&quot;"/>
    <numFmt numFmtId="172" formatCode="_ * #,##0.000_ ;_ * \-#,##0.000_ ;_ * &quot;-&quot;_ ;_ @_ "/>
  </numFmts>
  <fonts count="90">
    <font>
      <sz val="10"/>
      <color theme="1"/>
      <name val="Arial"/>
      <family val="2"/>
    </font>
    <font>
      <b/>
      <sz val="10"/>
      <color theme="1"/>
      <name val="Arial"/>
      <family val="2"/>
    </font>
    <font>
      <sz val="10"/>
      <color theme="0"/>
      <name val="Arial"/>
      <family val="2"/>
    </font>
    <font>
      <sz val="8"/>
      <color rgb="FF37474F"/>
      <name val="Arial"/>
      <family val="2"/>
    </font>
    <font>
      <sz val="11"/>
      <color theme="0"/>
      <name val="Arial"/>
      <family val="2"/>
    </font>
    <font>
      <sz val="11"/>
      <name val="Arial"/>
      <family val="2"/>
    </font>
    <font>
      <i/>
      <sz val="8"/>
      <color theme="1"/>
      <name val="Arial"/>
      <family val="2"/>
    </font>
    <font>
      <b/>
      <sz val="10"/>
      <name val="Arial"/>
      <family val="2"/>
    </font>
    <font>
      <b/>
      <sz val="10"/>
      <color theme="0"/>
      <name val="Arial"/>
      <family val="2"/>
    </font>
    <font>
      <u/>
      <sz val="10"/>
      <color theme="10"/>
      <name val="Arial"/>
      <family val="2"/>
    </font>
    <font>
      <b/>
      <sz val="10"/>
      <color theme="7" tint="0.79998168889431442"/>
      <name val="Arial"/>
      <family val="2"/>
    </font>
    <font>
      <sz val="10"/>
      <name val="Arial"/>
      <family val="2"/>
    </font>
    <font>
      <b/>
      <sz val="10"/>
      <color theme="9" tint="-0.249977111117893"/>
      <name val="Arial"/>
      <family val="2"/>
    </font>
    <font>
      <sz val="8"/>
      <color theme="1"/>
      <name val="Arial"/>
      <family val="2"/>
    </font>
    <font>
      <sz val="10"/>
      <color theme="1"/>
      <name val="Arial"/>
      <family val="2"/>
    </font>
    <font>
      <sz val="10"/>
      <color rgb="FFFF5B5F"/>
      <name val="Arial"/>
      <family val="2"/>
    </font>
    <font>
      <sz val="10"/>
      <color theme="0" tint="-0.499984740745262"/>
      <name val="Arial"/>
      <family val="2"/>
    </font>
    <font>
      <sz val="8"/>
      <name val="Arial"/>
      <family val="2"/>
    </font>
    <font>
      <b/>
      <sz val="10"/>
      <color rgb="FFFF7C80"/>
      <name val="Arial"/>
      <family val="2"/>
    </font>
    <font>
      <b/>
      <sz val="8"/>
      <color rgb="FFFF7C80"/>
      <name val="Arial"/>
      <family val="2"/>
    </font>
    <font>
      <vertAlign val="superscript"/>
      <sz val="10"/>
      <color theme="1"/>
      <name val="Arial"/>
      <family val="2"/>
    </font>
    <font>
      <b/>
      <sz val="11"/>
      <name val="Arial"/>
      <family val="2"/>
    </font>
    <font>
      <b/>
      <sz val="11"/>
      <color theme="0"/>
      <name val="Arial"/>
      <family val="2"/>
    </font>
    <font>
      <sz val="10"/>
      <color theme="1"/>
      <name val="Arial Nova Light"/>
      <family val="2"/>
    </font>
    <font>
      <b/>
      <sz val="12"/>
      <color theme="1"/>
      <name val="Arial Nova Light"/>
      <family val="2"/>
    </font>
    <font>
      <b/>
      <sz val="11"/>
      <color theme="1"/>
      <name val="Arial Nova Light"/>
      <family val="2"/>
    </font>
    <font>
      <sz val="10"/>
      <name val="Arial Nova Light"/>
      <family val="2"/>
    </font>
    <font>
      <b/>
      <sz val="10"/>
      <color rgb="FFFF0000"/>
      <name val="Arial Nova Light"/>
      <family val="2"/>
    </font>
    <font>
      <b/>
      <sz val="11"/>
      <name val="Arial Nova Light"/>
      <family val="2"/>
    </font>
    <font>
      <sz val="10"/>
      <color theme="8"/>
      <name val="Arial"/>
      <family val="2"/>
    </font>
    <font>
      <b/>
      <sz val="10"/>
      <name val="Arial Nova Light"/>
      <family val="2"/>
    </font>
    <font>
      <sz val="11"/>
      <name val="Arial Nova Light"/>
      <family val="2"/>
    </font>
    <font>
      <sz val="9"/>
      <name val="Arial Nova Light"/>
      <family val="2"/>
    </font>
    <font>
      <sz val="10"/>
      <color rgb="FF000000"/>
      <name val="Times New Roman"/>
      <family val="1"/>
    </font>
    <font>
      <sz val="8.5"/>
      <name val="Calibri"/>
      <family val="2"/>
    </font>
    <font>
      <sz val="8.5"/>
      <name val="Calibri"/>
      <family val="1"/>
    </font>
    <font>
      <b/>
      <sz val="8.5"/>
      <name val="Calibri"/>
      <family val="2"/>
    </font>
    <font>
      <b/>
      <sz val="8.5"/>
      <name val="Calibri"/>
      <family val="1"/>
    </font>
    <font>
      <sz val="8.5"/>
      <color rgb="FF000000"/>
      <name val="Calibri"/>
      <family val="2"/>
    </font>
    <font>
      <sz val="7"/>
      <name val="Calibri"/>
      <family val="2"/>
    </font>
    <font>
      <i/>
      <sz val="8"/>
      <name val="Calibri Light"/>
      <family val="2"/>
    </font>
    <font>
      <i/>
      <sz val="8"/>
      <name val="Calibri Light"/>
      <family val="1"/>
    </font>
    <font>
      <b/>
      <sz val="8"/>
      <name val="Calibri"/>
      <family val="2"/>
    </font>
    <font>
      <b/>
      <sz val="8"/>
      <color rgb="FFFFFFFF"/>
      <name val="Calibri"/>
      <family val="1"/>
    </font>
    <font>
      <b/>
      <sz val="8"/>
      <name val="Calibri"/>
      <family val="1"/>
    </font>
    <font>
      <sz val="8"/>
      <color rgb="FF000000"/>
      <name val="Calibri"/>
      <family val="2"/>
    </font>
    <font>
      <sz val="8"/>
      <name val="Calibri"/>
      <family val="2"/>
    </font>
    <font>
      <sz val="8"/>
      <name val="Calibri"/>
      <family val="1"/>
    </font>
    <font>
      <sz val="10"/>
      <color rgb="FF000000"/>
      <name val="Arial"/>
      <family val="2"/>
    </font>
    <font>
      <b/>
      <sz val="11"/>
      <color rgb="FFFF0000"/>
      <name val="Arial Nova Light"/>
      <family val="2"/>
    </font>
    <font>
      <b/>
      <sz val="9"/>
      <name val="Arial"/>
      <family val="2"/>
    </font>
    <font>
      <b/>
      <sz val="8"/>
      <name val="Arial"/>
      <family val="2"/>
    </font>
    <font>
      <i/>
      <sz val="10"/>
      <color theme="1"/>
      <name val="Arial"/>
      <family val="2"/>
    </font>
    <font>
      <b/>
      <u/>
      <sz val="10"/>
      <name val="Arial"/>
      <family val="2"/>
    </font>
    <font>
      <sz val="10"/>
      <color theme="4"/>
      <name val="Arial"/>
      <family val="2"/>
    </font>
    <font>
      <u/>
      <sz val="11"/>
      <color theme="0"/>
      <name val="Arial"/>
      <family val="2"/>
    </font>
    <font>
      <sz val="10"/>
      <color theme="0" tint="-4.9989318521683403E-2"/>
      <name val="Arial"/>
      <family val="2"/>
    </font>
    <font>
      <b/>
      <sz val="14"/>
      <color theme="1"/>
      <name val="Calibri"/>
      <family val="2"/>
      <scheme val="minor"/>
    </font>
    <font>
      <b/>
      <sz val="11"/>
      <color theme="1"/>
      <name val="Calibri"/>
      <family val="2"/>
      <scheme val="minor"/>
    </font>
    <font>
      <vertAlign val="superscript"/>
      <sz val="11"/>
      <color theme="1"/>
      <name val="Calibri"/>
      <family val="2"/>
      <scheme val="minor"/>
    </font>
    <font>
      <b/>
      <sz val="9"/>
      <color indexed="81"/>
      <name val="Tahoma"/>
      <family val="2"/>
    </font>
    <font>
      <b/>
      <sz val="9"/>
      <color theme="1"/>
      <name val="Arial"/>
      <family val="2"/>
    </font>
    <font>
      <sz val="9"/>
      <color theme="0"/>
      <name val="Arial"/>
      <family val="2"/>
    </font>
    <font>
      <u/>
      <sz val="10"/>
      <color theme="4"/>
      <name val="Arial"/>
      <family val="2"/>
    </font>
    <font>
      <u/>
      <sz val="10"/>
      <color theme="1"/>
      <name val="Arial"/>
      <family val="2"/>
    </font>
    <font>
      <i/>
      <sz val="10"/>
      <color theme="0"/>
      <name val="Arial"/>
      <family val="2"/>
    </font>
    <font>
      <b/>
      <i/>
      <sz val="10"/>
      <color rgb="FFFF0000"/>
      <name val="Arial"/>
      <family val="2"/>
    </font>
    <font>
      <sz val="9"/>
      <color theme="1"/>
      <name val="Arial"/>
      <family val="2"/>
    </font>
    <font>
      <sz val="9"/>
      <name val="Arial"/>
      <family val="2"/>
    </font>
    <font>
      <b/>
      <sz val="11"/>
      <color theme="1"/>
      <name val="Arial"/>
      <family val="2"/>
    </font>
    <font>
      <b/>
      <u/>
      <sz val="10"/>
      <color theme="0"/>
      <name val="Arial"/>
      <family val="2"/>
    </font>
    <font>
      <u/>
      <sz val="10"/>
      <color theme="0"/>
      <name val="Arial"/>
      <family val="2"/>
    </font>
    <font>
      <b/>
      <u/>
      <sz val="10"/>
      <color theme="1"/>
      <name val="Arial"/>
      <family val="2"/>
    </font>
    <font>
      <sz val="10"/>
      <color theme="0"/>
      <name val="Symbol"/>
      <family val="1"/>
      <charset val="2"/>
    </font>
    <font>
      <sz val="12"/>
      <color theme="0"/>
      <name val="Arial"/>
      <family val="2"/>
    </font>
    <font>
      <sz val="12"/>
      <color theme="0"/>
      <name val="Symbol"/>
      <family val="1"/>
      <charset val="2"/>
    </font>
    <font>
      <sz val="14"/>
      <color rgb="FF000000"/>
      <name val="Times New Roman"/>
      <family val="1"/>
    </font>
    <font>
      <b/>
      <u/>
      <sz val="10"/>
      <color rgb="FFFF7C80"/>
      <name val="Arial"/>
      <family val="2"/>
    </font>
    <font>
      <sz val="8"/>
      <color theme="0" tint="-0.14999847407452621"/>
      <name val="Arial"/>
      <family val="2"/>
    </font>
    <font>
      <b/>
      <vertAlign val="superscript"/>
      <sz val="10"/>
      <color theme="1"/>
      <name val="Arial"/>
      <family val="2"/>
    </font>
    <font>
      <sz val="8"/>
      <color rgb="FF0070C0"/>
      <name val="Arial"/>
      <family val="2"/>
    </font>
    <font>
      <sz val="10"/>
      <color rgb="FFFF0000"/>
      <name val="Arial"/>
      <family val="2"/>
    </font>
    <font>
      <b/>
      <sz val="10"/>
      <color rgb="FFFF0000"/>
      <name val="Arial"/>
      <family val="2"/>
    </font>
    <font>
      <b/>
      <sz val="10"/>
      <color theme="1"/>
      <name val="Aptos Narrow"/>
      <family val="2"/>
    </font>
    <font>
      <sz val="10"/>
      <color rgb="FFFFFFFF"/>
      <name val="Arial"/>
    </font>
    <font>
      <b/>
      <sz val="10"/>
      <color rgb="FFFFFFFF"/>
      <name val="Arial"/>
    </font>
    <font>
      <b/>
      <sz val="10"/>
      <color rgb="FF000000"/>
      <name val="Arial"/>
    </font>
    <font>
      <b/>
      <u/>
      <sz val="10"/>
      <color rgb="FF000000"/>
      <name val="Arial"/>
    </font>
    <font>
      <sz val="11"/>
      <color rgb="FFFFFFFF"/>
      <name val="Arial"/>
    </font>
    <font>
      <b/>
      <sz val="11"/>
      <color rgb="FFFFFFFF"/>
      <name val="Arial"/>
    </font>
  </fonts>
  <fills count="33">
    <fill>
      <patternFill patternType="none"/>
    </fill>
    <fill>
      <patternFill patternType="gray125"/>
    </fill>
    <fill>
      <patternFill patternType="solid">
        <fgColor rgb="FFFF7C8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4" tint="-0.249977111117893"/>
        <bgColor indexed="64"/>
      </patternFill>
    </fill>
    <fill>
      <patternFill patternType="solid">
        <fgColor theme="9"/>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rgb="FFFF9999"/>
        <bgColor indexed="64"/>
      </patternFill>
    </fill>
    <fill>
      <patternFill patternType="solid">
        <fgColor rgb="FFFFCCCC"/>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rgb="FFE7E6E6"/>
        <bgColor indexed="64"/>
      </patternFill>
    </fill>
    <fill>
      <patternFill patternType="solid">
        <fgColor rgb="FFFFFFCC"/>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A7A9AC"/>
      </patternFill>
    </fill>
    <fill>
      <patternFill patternType="solid">
        <fgColor rgb="FFD1D3D4"/>
      </patternFill>
    </fill>
    <fill>
      <patternFill patternType="solid">
        <fgColor rgb="FFE6E7E8"/>
      </patternFill>
    </fill>
    <fill>
      <patternFill patternType="solid">
        <fgColor rgb="FF808285"/>
      </patternFill>
    </fill>
    <fill>
      <patternFill patternType="solid">
        <fgColor theme="7"/>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595959"/>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tint="-0.14996795556505021"/>
        <bgColor indexed="64"/>
      </patternFill>
    </fill>
    <fill>
      <patternFill patternType="solid">
        <fgColor theme="0"/>
        <bgColor theme="0"/>
      </patternFill>
    </fill>
  </fills>
  <borders count="232">
    <border>
      <left/>
      <right/>
      <top/>
      <bottom/>
      <diagonal/>
    </border>
    <border>
      <left style="medium">
        <color rgb="FFFF7C80"/>
      </left>
      <right/>
      <top style="medium">
        <color rgb="FFFF7C80"/>
      </top>
      <bottom style="medium">
        <color rgb="FFFF7C80"/>
      </bottom>
      <diagonal/>
    </border>
    <border>
      <left/>
      <right style="medium">
        <color rgb="FFFF7C80"/>
      </right>
      <top style="medium">
        <color rgb="FFFF7C80"/>
      </top>
      <bottom style="medium">
        <color rgb="FFFF7C80"/>
      </bottom>
      <diagonal/>
    </border>
    <border>
      <left style="medium">
        <color rgb="FFFF7C80"/>
      </left>
      <right/>
      <top style="medium">
        <color rgb="FFFF7C80"/>
      </top>
      <bottom/>
      <diagonal/>
    </border>
    <border>
      <left/>
      <right/>
      <top style="medium">
        <color rgb="FFFF7C80"/>
      </top>
      <bottom/>
      <diagonal/>
    </border>
    <border>
      <left/>
      <right style="medium">
        <color rgb="FFFF7C80"/>
      </right>
      <top style="medium">
        <color rgb="FFFF7C80"/>
      </top>
      <bottom/>
      <diagonal/>
    </border>
    <border>
      <left style="medium">
        <color rgb="FFFF7C80"/>
      </left>
      <right/>
      <top/>
      <bottom/>
      <diagonal/>
    </border>
    <border>
      <left/>
      <right style="medium">
        <color rgb="FFFF7C80"/>
      </right>
      <top/>
      <bottom/>
      <diagonal/>
    </border>
    <border>
      <left style="medium">
        <color rgb="FFFF7C80"/>
      </left>
      <right/>
      <top/>
      <bottom style="medium">
        <color rgb="FFFF7C80"/>
      </bottom>
      <diagonal/>
    </border>
    <border>
      <left/>
      <right/>
      <top/>
      <bottom style="medium">
        <color rgb="FFFF7C80"/>
      </bottom>
      <diagonal/>
    </border>
    <border>
      <left/>
      <right style="medium">
        <color rgb="FFFF7C80"/>
      </right>
      <top/>
      <bottom style="medium">
        <color rgb="FFFF7C80"/>
      </bottom>
      <diagonal/>
    </border>
    <border>
      <left style="thin">
        <color rgb="FFFF7C80"/>
      </left>
      <right style="thin">
        <color rgb="FFFF7C80"/>
      </right>
      <top style="thin">
        <color rgb="FFFF7C80"/>
      </top>
      <bottom style="thin">
        <color rgb="FFFF7C80"/>
      </bottom>
      <diagonal/>
    </border>
    <border>
      <left style="medium">
        <color rgb="FFFF7C80"/>
      </left>
      <right style="medium">
        <color rgb="FFFF7C80"/>
      </right>
      <top style="medium">
        <color rgb="FFFF7C80"/>
      </top>
      <bottom style="medium">
        <color rgb="FFFF7C80"/>
      </bottom>
      <diagonal/>
    </border>
    <border>
      <left style="medium">
        <color rgb="FFFF7C80"/>
      </left>
      <right style="thin">
        <color rgb="FFFF7C80"/>
      </right>
      <top style="medium">
        <color rgb="FFFF7C80"/>
      </top>
      <bottom style="thin">
        <color rgb="FFFF7C80"/>
      </bottom>
      <diagonal/>
    </border>
    <border>
      <left style="thin">
        <color rgb="FFFF7C80"/>
      </left>
      <right style="medium">
        <color rgb="FFFF7C80"/>
      </right>
      <top style="medium">
        <color rgb="FFFF7C80"/>
      </top>
      <bottom style="thin">
        <color rgb="FFFF7C80"/>
      </bottom>
      <diagonal/>
    </border>
    <border>
      <left style="medium">
        <color rgb="FFFF7C80"/>
      </left>
      <right style="thin">
        <color rgb="FFFF7C80"/>
      </right>
      <top style="thin">
        <color rgb="FFFF7C80"/>
      </top>
      <bottom style="thin">
        <color rgb="FFFF7C80"/>
      </bottom>
      <diagonal/>
    </border>
    <border>
      <left style="thin">
        <color rgb="FFFF7C80"/>
      </left>
      <right style="medium">
        <color rgb="FFFF7C80"/>
      </right>
      <top style="thin">
        <color rgb="FFFF7C80"/>
      </top>
      <bottom style="thin">
        <color rgb="FFFF7C80"/>
      </bottom>
      <diagonal/>
    </border>
    <border>
      <left style="medium">
        <color rgb="FFFF7C80"/>
      </left>
      <right style="thin">
        <color rgb="FFFF7C80"/>
      </right>
      <top style="thin">
        <color rgb="FFFF7C80"/>
      </top>
      <bottom style="medium">
        <color rgb="FFFF7C80"/>
      </bottom>
      <diagonal/>
    </border>
    <border>
      <left style="thin">
        <color rgb="FFFF7C80"/>
      </left>
      <right style="medium">
        <color rgb="FFFF7C80"/>
      </right>
      <top style="thin">
        <color rgb="FFFF7C80"/>
      </top>
      <bottom style="medium">
        <color rgb="FFFF7C80"/>
      </bottom>
      <diagonal/>
    </border>
    <border>
      <left/>
      <right/>
      <top style="medium">
        <color rgb="FFFF7C80"/>
      </top>
      <bottom style="medium">
        <color rgb="FFFF7C80"/>
      </bottom>
      <diagonal/>
    </border>
    <border>
      <left style="thin">
        <color rgb="FFFF7C80"/>
      </left>
      <right style="thin">
        <color rgb="FFFF7C80"/>
      </right>
      <top/>
      <bottom style="thin">
        <color rgb="FFFF7C80"/>
      </bottom>
      <diagonal/>
    </border>
    <border>
      <left style="medium">
        <color rgb="FFFF7C80"/>
      </left>
      <right style="medium">
        <color rgb="FFFF7C80"/>
      </right>
      <top style="medium">
        <color rgb="FFFF7C80"/>
      </top>
      <bottom/>
      <diagonal/>
    </border>
    <border>
      <left style="medium">
        <color rgb="FFFF7C80"/>
      </left>
      <right style="medium">
        <color rgb="FFFF7C80"/>
      </right>
      <top style="thin">
        <color rgb="FFFF7C80"/>
      </top>
      <bottom style="thin">
        <color rgb="FFFF7C80"/>
      </bottom>
      <diagonal/>
    </border>
    <border>
      <left style="medium">
        <color rgb="FFFF7C80"/>
      </left>
      <right style="medium">
        <color rgb="FFFF7C80"/>
      </right>
      <top style="thin">
        <color rgb="FFFF7C80"/>
      </top>
      <bottom style="medium">
        <color rgb="FFFF7C80"/>
      </bottom>
      <diagonal/>
    </border>
    <border>
      <left style="medium">
        <color rgb="FFFF7C80"/>
      </left>
      <right/>
      <top/>
      <bottom style="thin">
        <color rgb="FFFF7C80"/>
      </bottom>
      <diagonal/>
    </border>
    <border>
      <left style="medium">
        <color rgb="FFFF7C80"/>
      </left>
      <right/>
      <top style="thin">
        <color rgb="FFFF7C80"/>
      </top>
      <bottom style="thin">
        <color rgb="FFFF7C80"/>
      </bottom>
      <diagonal/>
    </border>
    <border>
      <left style="medium">
        <color rgb="FFFF7C80"/>
      </left>
      <right/>
      <top style="thin">
        <color rgb="FFFF7C80"/>
      </top>
      <bottom style="medium">
        <color rgb="FFFF7C80"/>
      </bottom>
      <diagonal/>
    </border>
    <border>
      <left style="thin">
        <color rgb="FFFF7C80"/>
      </left>
      <right style="thin">
        <color rgb="FFFF7C80"/>
      </right>
      <top style="thin">
        <color rgb="FFFF7C80"/>
      </top>
      <bottom/>
      <diagonal/>
    </border>
    <border>
      <left style="medium">
        <color rgb="FFFF7C80"/>
      </left>
      <right style="medium">
        <color rgb="FFFF7C80"/>
      </right>
      <top/>
      <bottom style="medium">
        <color rgb="FFFF7C80"/>
      </bottom>
      <diagonal/>
    </border>
    <border>
      <left style="medium">
        <color rgb="FFFF7C80"/>
      </left>
      <right style="thin">
        <color rgb="FFFF7C80"/>
      </right>
      <top style="medium">
        <color rgb="FFFF7C80"/>
      </top>
      <bottom style="medium">
        <color rgb="FFFF7C80"/>
      </bottom>
      <diagonal/>
    </border>
    <border>
      <left style="thin">
        <color rgb="FFFF7C80"/>
      </left>
      <right style="thin">
        <color rgb="FFFF7C80"/>
      </right>
      <top style="medium">
        <color rgb="FFFF7C80"/>
      </top>
      <bottom style="medium">
        <color rgb="FFFF7C80"/>
      </bottom>
      <diagonal/>
    </border>
    <border>
      <left style="thin">
        <color rgb="FFFF7C80"/>
      </left>
      <right style="medium">
        <color rgb="FFFF7C80"/>
      </right>
      <top style="medium">
        <color rgb="FFFF7C80"/>
      </top>
      <bottom style="medium">
        <color rgb="FFFF7C80"/>
      </bottom>
      <diagonal/>
    </border>
    <border>
      <left style="thin">
        <color rgb="FFFF7C80"/>
      </left>
      <right/>
      <top style="medium">
        <color rgb="FFFF7C80"/>
      </top>
      <bottom style="medium">
        <color rgb="FFFF7C80"/>
      </bottom>
      <diagonal/>
    </border>
    <border>
      <left style="thin">
        <color rgb="FFFF7C80"/>
      </left>
      <right style="medium">
        <color rgb="FFFF7C80"/>
      </right>
      <top/>
      <bottom style="thin">
        <color rgb="FFFF7C80"/>
      </bottom>
      <diagonal/>
    </border>
    <border>
      <left style="medium">
        <color rgb="FFFF7C80"/>
      </left>
      <right style="thin">
        <color rgb="FFFF7C80"/>
      </right>
      <top/>
      <bottom style="thin">
        <color rgb="FFFF7C80"/>
      </bottom>
      <diagonal/>
    </border>
    <border>
      <left style="thin">
        <color theme="0"/>
      </left>
      <right style="thin">
        <color theme="0"/>
      </right>
      <top style="thin">
        <color theme="0"/>
      </top>
      <bottom style="thin">
        <color theme="0"/>
      </bottom>
      <diagonal/>
    </border>
    <border>
      <left style="medium">
        <color rgb="FFFF7C80"/>
      </left>
      <right style="thin">
        <color theme="0"/>
      </right>
      <top style="thin">
        <color theme="0"/>
      </top>
      <bottom style="thin">
        <color theme="0"/>
      </bottom>
      <diagonal/>
    </border>
    <border>
      <left style="medium">
        <color rgb="FFFF7C80"/>
      </left>
      <right style="thin">
        <color theme="0"/>
      </right>
      <top style="thin">
        <color theme="0"/>
      </top>
      <bottom style="medium">
        <color rgb="FFFF7C80"/>
      </bottom>
      <diagonal/>
    </border>
    <border>
      <left style="thin">
        <color theme="0"/>
      </left>
      <right style="thin">
        <color theme="0"/>
      </right>
      <top style="thin">
        <color theme="0"/>
      </top>
      <bottom style="medium">
        <color rgb="FFFF7C80"/>
      </bottom>
      <diagonal/>
    </border>
    <border>
      <left style="thin">
        <color theme="0"/>
      </left>
      <right style="thin">
        <color theme="0"/>
      </right>
      <top/>
      <bottom style="thin">
        <color theme="0"/>
      </bottom>
      <diagonal/>
    </border>
    <border>
      <left style="medium">
        <color rgb="FFFF7C80"/>
      </left>
      <right style="medium">
        <color rgb="FFFF7C80"/>
      </right>
      <top/>
      <bottom style="thin">
        <color rgb="FFFF7C80"/>
      </bottom>
      <diagonal/>
    </border>
    <border>
      <left style="thin">
        <color rgb="FFFF7C80"/>
      </left>
      <right/>
      <top/>
      <bottom style="thin">
        <color rgb="FFFF7C80"/>
      </bottom>
      <diagonal/>
    </border>
    <border>
      <left/>
      <right/>
      <top style="thin">
        <color rgb="FFFF7C80"/>
      </top>
      <bottom style="medium">
        <color rgb="FFFF7C80"/>
      </bottom>
      <diagonal/>
    </border>
    <border>
      <left/>
      <right style="thin">
        <color rgb="FFFF7C80"/>
      </right>
      <top style="medium">
        <color rgb="FFFF7C80"/>
      </top>
      <bottom style="medium">
        <color rgb="FFFF7C80"/>
      </bottom>
      <diagonal/>
    </border>
    <border>
      <left style="medium">
        <color rgb="FFFF7C80"/>
      </left>
      <right style="medium">
        <color rgb="FFFF7C80"/>
      </right>
      <top/>
      <bottom/>
      <diagonal/>
    </border>
    <border>
      <left style="thin">
        <color rgb="FFFF7C80"/>
      </left>
      <right style="thin">
        <color rgb="FFFF7C80"/>
      </right>
      <top style="medium">
        <color rgb="FFFF7C80"/>
      </top>
      <bottom style="thin">
        <color rgb="FFFF7C80"/>
      </bottom>
      <diagonal/>
    </border>
    <border>
      <left style="thin">
        <color rgb="FFFF7C80"/>
      </left>
      <right style="thin">
        <color rgb="FFFF7C80"/>
      </right>
      <top style="thin">
        <color rgb="FFFF7C80"/>
      </top>
      <bottom style="medium">
        <color rgb="FFFF7C80"/>
      </bottom>
      <diagonal/>
    </border>
    <border>
      <left style="thin">
        <color rgb="FFFF7C80"/>
      </left>
      <right/>
      <top style="thin">
        <color rgb="FFFF7C80"/>
      </top>
      <bottom/>
      <diagonal/>
    </border>
    <border>
      <left/>
      <right style="thin">
        <color rgb="FFFF7C80"/>
      </right>
      <top style="thin">
        <color rgb="FFFF7C80"/>
      </top>
      <bottom/>
      <diagonal/>
    </border>
    <border>
      <left/>
      <right style="thin">
        <color rgb="FFFF7C80"/>
      </right>
      <top/>
      <bottom style="thin">
        <color rgb="FFFF7C80"/>
      </bottom>
      <diagonal/>
    </border>
    <border>
      <left/>
      <right style="thin">
        <color rgb="FFFF7C80"/>
      </right>
      <top style="thin">
        <color rgb="FFFF7C80"/>
      </top>
      <bottom style="thin">
        <color rgb="FFFF7C80"/>
      </bottom>
      <diagonal/>
    </border>
    <border>
      <left style="thin">
        <color rgb="FFFF7C80"/>
      </left>
      <right style="thin">
        <color rgb="FFFF7C80"/>
      </right>
      <top/>
      <bottom/>
      <diagonal/>
    </border>
    <border>
      <left/>
      <right/>
      <top/>
      <bottom style="thin">
        <color rgb="FFFF7C80"/>
      </bottom>
      <diagonal/>
    </border>
    <border>
      <left style="thin">
        <color indexed="64"/>
      </left>
      <right style="thin">
        <color indexed="64"/>
      </right>
      <top style="thin">
        <color indexed="64"/>
      </top>
      <bottom style="thin">
        <color indexed="64"/>
      </bottom>
      <diagonal/>
    </border>
    <border>
      <left style="thin">
        <color rgb="FFFF7C80"/>
      </left>
      <right/>
      <top style="thin">
        <color rgb="FFFF7C80"/>
      </top>
      <bottom style="thin">
        <color rgb="FFFF7C80"/>
      </bottom>
      <diagonal/>
    </border>
    <border>
      <left style="thin">
        <color rgb="FFFF7C80"/>
      </left>
      <right style="thin">
        <color rgb="FFFF7C80"/>
      </right>
      <top style="thin">
        <color rgb="FFFF7C80"/>
      </top>
      <bottom style="medium">
        <color theme="5"/>
      </bottom>
      <diagonal/>
    </border>
    <border>
      <left style="medium">
        <color rgb="FFFF7C80"/>
      </left>
      <right/>
      <top/>
      <bottom style="thin">
        <color theme="0"/>
      </bottom>
      <diagonal/>
    </border>
    <border>
      <left/>
      <right/>
      <top/>
      <bottom style="thin">
        <color theme="0"/>
      </bottom>
      <diagonal/>
    </border>
    <border>
      <left style="medium">
        <color rgb="FFFF7C80"/>
      </left>
      <right/>
      <top style="thin">
        <color theme="0"/>
      </top>
      <bottom style="thin">
        <color theme="0"/>
      </bottom>
      <diagonal/>
    </border>
    <border>
      <left/>
      <right/>
      <top style="thin">
        <color theme="0"/>
      </top>
      <bottom style="thin">
        <color theme="0"/>
      </bottom>
      <diagonal/>
    </border>
    <border>
      <left style="medium">
        <color rgb="FFFF7C80"/>
      </left>
      <right style="thin">
        <color rgb="FFFF7C80"/>
      </right>
      <top style="medium">
        <color rgb="FFFF7C80"/>
      </top>
      <bottom/>
      <diagonal/>
    </border>
    <border>
      <left style="thin">
        <color rgb="FFFF7C80"/>
      </left>
      <right/>
      <top style="medium">
        <color rgb="FFFF7C80"/>
      </top>
      <bottom style="thin">
        <color rgb="FFFF7C80"/>
      </bottom>
      <diagonal/>
    </border>
    <border>
      <left/>
      <right style="medium">
        <color rgb="FFFF7C80"/>
      </right>
      <top style="medium">
        <color rgb="FFFF7C80"/>
      </top>
      <bottom style="thin">
        <color rgb="FFFF7C80"/>
      </bottom>
      <diagonal/>
    </border>
    <border>
      <left/>
      <right/>
      <top/>
      <bottom style="thin">
        <color theme="0" tint="-0.499984740745262"/>
      </bottom>
      <diagonal/>
    </border>
    <border>
      <left/>
      <right/>
      <top style="thin">
        <color theme="0"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indexed="64"/>
      </left>
      <right style="thin">
        <color indexed="64"/>
      </right>
      <top/>
      <bottom/>
      <diagonal/>
    </border>
    <border>
      <left style="medium">
        <color rgb="FF00B0F0"/>
      </left>
      <right style="thin">
        <color theme="1" tint="0.499984740745262"/>
      </right>
      <top style="medium">
        <color rgb="FF00B0F0"/>
      </top>
      <bottom style="thin">
        <color theme="1" tint="0.499984740745262"/>
      </bottom>
      <diagonal/>
    </border>
    <border>
      <left style="thin">
        <color theme="1" tint="0.499984740745262"/>
      </left>
      <right style="thin">
        <color theme="1" tint="0.499984740745262"/>
      </right>
      <top style="medium">
        <color rgb="FF00B0F0"/>
      </top>
      <bottom style="thin">
        <color theme="1" tint="0.499984740745262"/>
      </bottom>
      <diagonal/>
    </border>
    <border>
      <left style="thin">
        <color theme="1" tint="0.499984740745262"/>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style="thin">
        <color theme="1" tint="0.499984740745262"/>
      </right>
      <top style="thin">
        <color theme="1" tint="0.499984740745262"/>
      </top>
      <bottom style="thin">
        <color theme="1" tint="0.499984740745262"/>
      </bottom>
      <diagonal/>
    </border>
    <border>
      <left/>
      <right style="medium">
        <color rgb="FF00B0F0"/>
      </right>
      <top/>
      <bottom/>
      <diagonal/>
    </border>
    <border>
      <left/>
      <right style="medium">
        <color rgb="FF00B0F0"/>
      </right>
      <top/>
      <bottom style="thin">
        <color theme="1" tint="0.499984740745262"/>
      </bottom>
      <diagonal/>
    </border>
    <border>
      <left style="medium">
        <color rgb="FF00B0F0"/>
      </left>
      <right/>
      <top/>
      <bottom/>
      <diagonal/>
    </border>
    <border>
      <left style="medium">
        <color rgb="FF00B0F0"/>
      </left>
      <right/>
      <top style="thin">
        <color theme="1" tint="0.499984740745262"/>
      </top>
      <bottom style="thin">
        <color theme="1" tint="0.499984740745262"/>
      </bottom>
      <diagonal/>
    </border>
    <border>
      <left style="thin">
        <color theme="1" tint="0.499984740745262"/>
      </left>
      <right style="medium">
        <color rgb="FF00B0F0"/>
      </right>
      <top style="thin">
        <color theme="1" tint="0.499984740745262"/>
      </top>
      <bottom style="thin">
        <color theme="1" tint="0.499984740745262"/>
      </bottom>
      <diagonal/>
    </border>
    <border>
      <left/>
      <right style="medium">
        <color rgb="FF00B0F0"/>
      </right>
      <top style="thin">
        <color theme="1" tint="0.499984740745262"/>
      </top>
      <bottom/>
      <diagonal/>
    </border>
    <border>
      <left style="medium">
        <color rgb="FF00B0F0"/>
      </left>
      <right style="thin">
        <color theme="1" tint="0.499984740745262"/>
      </right>
      <top style="thin">
        <color theme="1" tint="0.499984740745262"/>
      </top>
      <bottom style="medium">
        <color rgb="FF00B0F0"/>
      </bottom>
      <diagonal/>
    </border>
    <border>
      <left style="thin">
        <color theme="1" tint="0.499984740745262"/>
      </left>
      <right style="thin">
        <color theme="1" tint="0.499984740745262"/>
      </right>
      <top style="thin">
        <color theme="1" tint="0.499984740745262"/>
      </top>
      <bottom style="medium">
        <color rgb="FF00B0F0"/>
      </bottom>
      <diagonal/>
    </border>
    <border>
      <left style="thin">
        <color theme="1" tint="0.499984740745262"/>
      </left>
      <right/>
      <top/>
      <bottom style="medium">
        <color rgb="FF00B0F0"/>
      </bottom>
      <diagonal/>
    </border>
    <border>
      <left/>
      <right/>
      <top/>
      <bottom style="medium">
        <color rgb="FF00B0F0"/>
      </bottom>
      <diagonal/>
    </border>
    <border>
      <left/>
      <right style="medium">
        <color rgb="FF00B0F0"/>
      </right>
      <top/>
      <bottom style="medium">
        <color rgb="FF00B0F0"/>
      </bottom>
      <diagonal/>
    </border>
    <border>
      <left style="thin">
        <color rgb="FFFF7C80"/>
      </left>
      <right/>
      <top style="thin">
        <color rgb="FFFF7C80"/>
      </top>
      <bottom style="medium">
        <color rgb="FFFF7C80"/>
      </bottom>
      <diagonal/>
    </border>
    <border>
      <left style="thin">
        <color rgb="FFFF7C80"/>
      </left>
      <right style="thin">
        <color rgb="FFFF7C80"/>
      </right>
      <top/>
      <bottom style="medium">
        <color rgb="FFFF7C80"/>
      </bottom>
      <diagonal/>
    </border>
    <border>
      <left style="thin">
        <color rgb="FFFF7C80"/>
      </left>
      <right/>
      <top/>
      <bottom style="medium">
        <color rgb="FFFF7C80"/>
      </bottom>
      <diagonal/>
    </border>
    <border>
      <left style="medium">
        <color rgb="FFFF7C80"/>
      </left>
      <right style="thin">
        <color rgb="FFFF7C80"/>
      </right>
      <top/>
      <bottom style="medium">
        <color rgb="FFFF7C80"/>
      </bottom>
      <diagonal/>
    </border>
    <border>
      <left style="medium">
        <color rgb="FFFF7C80"/>
      </left>
      <right/>
      <top style="medium">
        <color rgb="FFFF7C80"/>
      </top>
      <bottom style="thin">
        <color rgb="FFFF7C80"/>
      </bottom>
      <diagonal/>
    </border>
    <border>
      <left style="thin">
        <color rgb="FFFF7C80"/>
      </left>
      <right style="medium">
        <color rgb="FFFF7C80"/>
      </right>
      <top/>
      <bottom style="medium">
        <color rgb="FFFF7C80"/>
      </bottom>
      <diagonal/>
    </border>
    <border>
      <left style="medium">
        <color rgb="FFFF7C80"/>
      </left>
      <right style="thin">
        <color rgb="FFFF7C80"/>
      </right>
      <top style="thin">
        <color rgb="FFFF7C80"/>
      </top>
      <bottom/>
      <diagonal/>
    </border>
    <border>
      <left style="thin">
        <color rgb="FFFF7C80"/>
      </left>
      <right style="medium">
        <color rgb="FFFF7C80"/>
      </right>
      <top style="thin">
        <color rgb="FFFF7C80"/>
      </top>
      <bottom/>
      <diagonal/>
    </border>
    <border>
      <left/>
      <right style="thin">
        <color rgb="FFFF7C80"/>
      </right>
      <top style="medium">
        <color rgb="FFFF7C80"/>
      </top>
      <bottom/>
      <diagonal/>
    </border>
    <border>
      <left/>
      <right/>
      <top style="medium">
        <color rgb="FFFF7C80"/>
      </top>
      <bottom style="thin">
        <color rgb="FFFF7C80"/>
      </bottom>
      <diagonal/>
    </border>
    <border>
      <left style="thin">
        <color rgb="FFFF7C80"/>
      </left>
      <right style="medium">
        <color rgb="FFFF7C80"/>
      </right>
      <top/>
      <bottom/>
      <diagonal/>
    </border>
    <border>
      <left/>
      <right style="thick">
        <color rgb="FFFF7C80"/>
      </right>
      <top style="thick">
        <color rgb="FFFF7C80"/>
      </top>
      <bottom style="thick">
        <color rgb="FFFF7C80"/>
      </bottom>
      <diagonal/>
    </border>
    <border>
      <left style="thick">
        <color rgb="FFFF7C80"/>
      </left>
      <right/>
      <top style="medium">
        <color rgb="FFFF7C80"/>
      </top>
      <bottom style="medium">
        <color rgb="FFFF7C80"/>
      </bottom>
      <diagonal/>
    </border>
    <border>
      <left style="medium">
        <color rgb="FFFF7C80"/>
      </left>
      <right style="thin">
        <color indexed="64"/>
      </right>
      <top style="thin">
        <color indexed="64"/>
      </top>
      <bottom style="thin">
        <color indexed="64"/>
      </bottom>
      <diagonal/>
    </border>
    <border>
      <left/>
      <right/>
      <top/>
      <bottom style="thin">
        <color indexed="64"/>
      </bottom>
      <diagonal/>
    </border>
    <border>
      <left style="medium">
        <color rgb="FFFF7C80"/>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rgb="FFFF7C80"/>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rgb="FFFF7C80"/>
      </left>
      <right style="thin">
        <color indexed="64"/>
      </right>
      <top style="thin">
        <color indexed="64"/>
      </top>
      <bottom style="medium">
        <color rgb="FFFF7C80"/>
      </bottom>
      <diagonal/>
    </border>
    <border>
      <left style="thin">
        <color indexed="64"/>
      </left>
      <right style="thin">
        <color indexed="64"/>
      </right>
      <top style="thin">
        <color indexed="64"/>
      </top>
      <bottom style="medium">
        <color rgb="FFFF7C80"/>
      </bottom>
      <diagonal/>
    </border>
    <border>
      <left style="thin">
        <color indexed="64"/>
      </left>
      <right/>
      <top style="thin">
        <color indexed="64"/>
      </top>
      <bottom style="medium">
        <color rgb="FFFF7C80"/>
      </bottom>
      <diagonal/>
    </border>
    <border>
      <left/>
      <right style="thin">
        <color rgb="FFFF7C80"/>
      </right>
      <top/>
      <bottom/>
      <diagonal/>
    </border>
    <border>
      <left style="thin">
        <color theme="0"/>
      </left>
      <right style="medium">
        <color rgb="FFFF7C80"/>
      </right>
      <top style="thin">
        <color theme="0"/>
      </top>
      <bottom style="thin">
        <color theme="0"/>
      </bottom>
      <diagonal/>
    </border>
    <border>
      <left style="thin">
        <color theme="0"/>
      </left>
      <right style="medium">
        <color rgb="FFFF7C80"/>
      </right>
      <top style="thin">
        <color theme="0"/>
      </top>
      <bottom style="medium">
        <color rgb="FFFF7C80"/>
      </bottom>
      <diagonal/>
    </border>
    <border>
      <left style="thin">
        <color rgb="FFFF7C80"/>
      </left>
      <right style="thin">
        <color rgb="FFFF7C80"/>
      </right>
      <top style="medium">
        <color rgb="FFFF7C80"/>
      </top>
      <bottom/>
      <diagonal/>
    </border>
    <border>
      <left style="thin">
        <color rgb="FFFF7C80"/>
      </left>
      <right style="medium">
        <color rgb="FFFF7C80"/>
      </right>
      <top style="medium">
        <color rgb="FFFF7C80"/>
      </top>
      <bottom/>
      <diagonal/>
    </border>
    <border>
      <left style="thin">
        <color rgb="FFFF7C80"/>
      </left>
      <right/>
      <top style="medium">
        <color rgb="FFFF7C80"/>
      </top>
      <bottom/>
      <diagonal/>
    </border>
    <border>
      <left style="thin">
        <color theme="0"/>
      </left>
      <right/>
      <top style="thin">
        <color theme="0"/>
      </top>
      <bottom style="thin">
        <color theme="0"/>
      </bottom>
      <diagonal/>
    </border>
    <border>
      <left style="thin">
        <color theme="0"/>
      </left>
      <right/>
      <top style="thin">
        <color theme="0"/>
      </top>
      <bottom style="medium">
        <color rgb="FFFF7C80"/>
      </bottom>
      <diagonal/>
    </border>
    <border>
      <left/>
      <right/>
      <top style="thin">
        <color rgb="FFFF7C80"/>
      </top>
      <bottom style="thin">
        <color rgb="FFFF7C80"/>
      </bottom>
      <diagonal/>
    </border>
    <border>
      <left/>
      <right/>
      <top style="thin">
        <color theme="7"/>
      </top>
      <bottom/>
      <diagonal/>
    </border>
    <border>
      <left/>
      <right style="medium">
        <color rgb="FFFF7C80"/>
      </right>
      <top style="medium">
        <color rgb="FFFF7C80"/>
      </top>
      <bottom style="thin">
        <color theme="0"/>
      </bottom>
      <diagonal/>
    </border>
    <border>
      <left/>
      <right style="medium">
        <color rgb="FFFF7C80"/>
      </right>
      <top style="thin">
        <color theme="0"/>
      </top>
      <bottom style="thin">
        <color theme="0"/>
      </bottom>
      <diagonal/>
    </border>
    <border>
      <left style="medium">
        <color rgb="FFFF7C80"/>
      </left>
      <right style="thin">
        <color theme="0"/>
      </right>
      <top style="medium">
        <color rgb="FFFF7C80"/>
      </top>
      <bottom style="thin">
        <color theme="0"/>
      </bottom>
      <diagonal/>
    </border>
    <border>
      <left style="thin">
        <color theme="0"/>
      </left>
      <right style="thin">
        <color theme="0"/>
      </right>
      <top style="medium">
        <color rgb="FFFF7C80"/>
      </top>
      <bottom style="thin">
        <color theme="0"/>
      </bottom>
      <diagonal/>
    </border>
    <border>
      <left style="thin">
        <color theme="0"/>
      </left>
      <right/>
      <top style="medium">
        <color rgb="FFFF7C80"/>
      </top>
      <bottom style="thin">
        <color theme="0"/>
      </bottom>
      <diagonal/>
    </border>
    <border>
      <left style="thin">
        <color theme="0"/>
      </left>
      <right style="medium">
        <color rgb="FFFF7C80"/>
      </right>
      <top style="medium">
        <color rgb="FFFF7C80"/>
      </top>
      <bottom style="thin">
        <color theme="0"/>
      </bottom>
      <diagonal/>
    </border>
    <border>
      <left/>
      <right style="medium">
        <color rgb="FFFF7C80"/>
      </right>
      <top style="thin">
        <color theme="0"/>
      </top>
      <bottom style="medium">
        <color rgb="FFFF7C8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7C80"/>
      </left>
      <right/>
      <top/>
      <bottom/>
      <diagonal/>
    </border>
    <border>
      <left style="thin">
        <color theme="0"/>
      </left>
      <right style="thin">
        <color theme="0"/>
      </right>
      <top style="medium">
        <color rgb="FFFF7C80"/>
      </top>
      <bottom/>
      <diagonal/>
    </border>
    <border>
      <left/>
      <right/>
      <top style="thin">
        <color rgb="FFFF7C80"/>
      </top>
      <bottom/>
      <diagonal/>
    </border>
    <border>
      <left style="thick">
        <color rgb="FFFF7C80"/>
      </left>
      <right/>
      <top/>
      <bottom style="medium">
        <color rgb="FFFF7C80"/>
      </bottom>
      <diagonal/>
    </border>
    <border>
      <left style="thin">
        <color theme="0" tint="-0.499984740745262"/>
      </left>
      <right/>
      <top style="thin">
        <color theme="0" tint="-0.499984740745262"/>
      </top>
      <bottom style="thin">
        <color theme="0" tint="-0.499984740745262"/>
      </bottom>
      <diagonal/>
    </border>
    <border>
      <left style="thin">
        <color theme="0"/>
      </left>
      <right style="medium">
        <color rgb="FFFF7C80"/>
      </right>
      <top style="medium">
        <color rgb="FFFF7C80"/>
      </top>
      <bottom/>
      <diagonal/>
    </border>
    <border>
      <left/>
      <right style="medium">
        <color rgb="FFFF7C80"/>
      </right>
      <top/>
      <bottom style="thin">
        <color rgb="FFFF7C80"/>
      </bottom>
      <diagonal/>
    </border>
    <border>
      <left style="medium">
        <color rgb="FFFF7C80"/>
      </left>
      <right/>
      <top style="medium">
        <color rgb="FFFF7C80"/>
      </top>
      <bottom style="thin">
        <color theme="0"/>
      </bottom>
      <diagonal/>
    </border>
    <border>
      <left style="medium">
        <color rgb="FFFF7C80"/>
      </left>
      <right/>
      <top style="thin">
        <color theme="0"/>
      </top>
      <bottom style="medium">
        <color rgb="FFFF7C80"/>
      </bottom>
      <diagonal/>
    </border>
    <border>
      <left style="medium">
        <color rgb="FFFF7C80"/>
      </left>
      <right style="thin">
        <color theme="0"/>
      </right>
      <top style="medium">
        <color rgb="FFFF7C80"/>
      </top>
      <bottom style="medium">
        <color rgb="FFFF7C80"/>
      </bottom>
      <diagonal/>
    </border>
    <border>
      <left style="thin">
        <color theme="0"/>
      </left>
      <right style="medium">
        <color rgb="FFFF7C80"/>
      </right>
      <top style="medium">
        <color rgb="FFFF7C80"/>
      </top>
      <bottom style="medium">
        <color rgb="FFFF7C80"/>
      </bottom>
      <diagonal/>
    </border>
    <border>
      <left style="medium">
        <color theme="0"/>
      </left>
      <right style="medium">
        <color theme="0"/>
      </right>
      <top style="medium">
        <color theme="0"/>
      </top>
      <bottom style="medium">
        <color theme="0"/>
      </bottom>
      <diagonal/>
    </border>
    <border>
      <left style="medium">
        <color rgb="FFFF7C80"/>
      </left>
      <right style="medium">
        <color theme="0"/>
      </right>
      <top style="medium">
        <color theme="0"/>
      </top>
      <bottom style="medium">
        <color theme="0"/>
      </bottom>
      <diagonal/>
    </border>
    <border>
      <left style="medium">
        <color rgb="FFFF7C80"/>
      </left>
      <right style="medium">
        <color theme="0"/>
      </right>
      <top style="medium">
        <color theme="0"/>
      </top>
      <bottom style="medium">
        <color rgb="FFFF7C80"/>
      </bottom>
      <diagonal/>
    </border>
    <border>
      <left style="medium">
        <color theme="0"/>
      </left>
      <right style="medium">
        <color theme="0"/>
      </right>
      <top style="medium">
        <color theme="0"/>
      </top>
      <bottom style="medium">
        <color rgb="FFFF7C80"/>
      </bottom>
      <diagonal/>
    </border>
    <border>
      <left/>
      <right style="medium">
        <color theme="0"/>
      </right>
      <top style="medium">
        <color theme="0"/>
      </top>
      <bottom style="medium">
        <color theme="0"/>
      </bottom>
      <diagonal/>
    </border>
    <border>
      <left/>
      <right style="medium">
        <color theme="0"/>
      </right>
      <top style="medium">
        <color theme="0"/>
      </top>
      <bottom style="medium">
        <color rgb="FFFF7C80"/>
      </bottom>
      <diagonal/>
    </border>
    <border>
      <left/>
      <right/>
      <top style="medium">
        <color theme="0"/>
      </top>
      <bottom style="medium">
        <color theme="0"/>
      </bottom>
      <diagonal/>
    </border>
    <border>
      <left style="medium">
        <color rgb="FFFF7C80"/>
      </left>
      <right style="medium">
        <color theme="0"/>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top style="medium">
        <color theme="0"/>
      </top>
      <bottom style="medium">
        <color rgb="FFFF7C80"/>
      </bottom>
      <diagonal/>
    </border>
    <border>
      <left/>
      <right style="thin">
        <color theme="0" tint="-0.499984740745262"/>
      </right>
      <top style="thin">
        <color theme="0" tint="-0.499984740745262"/>
      </top>
      <bottom style="thin">
        <color theme="0" tint="-0.499984740745262"/>
      </bottom>
      <diagonal/>
    </border>
    <border>
      <left style="medium">
        <color rgb="FFFF7C80"/>
      </left>
      <right/>
      <top style="thin">
        <color theme="0"/>
      </top>
      <bottom/>
      <diagonal/>
    </border>
    <border>
      <left/>
      <right/>
      <top style="thin">
        <color theme="0"/>
      </top>
      <bottom/>
      <diagonal/>
    </border>
    <border>
      <left style="medium">
        <color rgb="FFFF7C80"/>
      </left>
      <right style="medium">
        <color rgb="FFFF7C80"/>
      </right>
      <top style="medium">
        <color rgb="FFFF7C80"/>
      </top>
      <bottom style="thin">
        <color theme="0" tint="-0.14996795556505021"/>
      </bottom>
      <diagonal/>
    </border>
    <border>
      <left style="medium">
        <color rgb="FFFF7C80"/>
      </left>
      <right style="medium">
        <color rgb="FFFF7C80"/>
      </right>
      <top style="thin">
        <color theme="0" tint="-0.14996795556505021"/>
      </top>
      <bottom style="thin">
        <color theme="0" tint="-0.14996795556505021"/>
      </bottom>
      <diagonal/>
    </border>
    <border>
      <left style="medium">
        <color rgb="FFFF7C80"/>
      </left>
      <right style="medium">
        <color rgb="FFFF7C80"/>
      </right>
      <top style="thin">
        <color theme="0" tint="-0.14996795556505021"/>
      </top>
      <bottom style="medium">
        <color rgb="FFFF7C80"/>
      </bottom>
      <diagonal/>
    </border>
    <border>
      <left style="medium">
        <color theme="0"/>
      </left>
      <right style="medium">
        <color theme="0"/>
      </right>
      <top style="medium">
        <color rgb="FFFF7C80"/>
      </top>
      <bottom style="thin">
        <color theme="0"/>
      </bottom>
      <diagonal/>
    </border>
    <border>
      <left style="medium">
        <color theme="0"/>
      </left>
      <right/>
      <top style="medium">
        <color rgb="FFFF7C80"/>
      </top>
      <bottom style="thin">
        <color theme="0"/>
      </bottom>
      <diagonal/>
    </border>
    <border>
      <left/>
      <right style="medium">
        <color rgb="FFFF7C80"/>
      </right>
      <top/>
      <bottom style="thin">
        <color theme="0"/>
      </bottom>
      <diagonal/>
    </border>
    <border>
      <left style="medium">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style="medium">
        <color theme="0"/>
      </left>
      <right style="medium">
        <color theme="0"/>
      </right>
      <top style="thin">
        <color theme="0"/>
      </top>
      <bottom style="medium">
        <color rgb="FFFF7C80"/>
      </bottom>
      <diagonal/>
    </border>
    <border>
      <left style="medium">
        <color theme="0"/>
      </left>
      <right/>
      <top style="thin">
        <color theme="0"/>
      </top>
      <bottom style="medium">
        <color rgb="FFFF7C80"/>
      </bottom>
      <diagonal/>
    </border>
    <border>
      <left/>
      <right style="medium">
        <color rgb="FFFF7C80"/>
      </right>
      <top style="thin">
        <color theme="0"/>
      </top>
      <bottom/>
      <diagonal/>
    </border>
    <border>
      <left/>
      <right/>
      <top style="medium">
        <color rgb="FFFF7C80"/>
      </top>
      <bottom style="thin">
        <color theme="0"/>
      </bottom>
      <diagonal/>
    </border>
    <border>
      <left style="medium">
        <color rgb="FFFF7C80"/>
      </left>
      <right style="medium">
        <color rgb="FFFF7C80"/>
      </right>
      <top style="medium">
        <color rgb="FFFF7C80"/>
      </top>
      <bottom style="thin">
        <color theme="0"/>
      </bottom>
      <diagonal/>
    </border>
    <border>
      <left style="medium">
        <color rgb="FFFF7C80"/>
      </left>
      <right style="medium">
        <color rgb="FFFF7C80"/>
      </right>
      <top style="thin">
        <color theme="0"/>
      </top>
      <bottom style="thin">
        <color theme="0"/>
      </bottom>
      <diagonal/>
    </border>
    <border>
      <left/>
      <right/>
      <top style="thin">
        <color theme="0"/>
      </top>
      <bottom style="medium">
        <color rgb="FFFF7C80"/>
      </bottom>
      <diagonal/>
    </border>
    <border>
      <left style="medium">
        <color rgb="FFFF7C80"/>
      </left>
      <right style="medium">
        <color rgb="FFFF7C80"/>
      </right>
      <top style="thin">
        <color theme="0"/>
      </top>
      <bottom style="medium">
        <color rgb="FFFF7C80"/>
      </bottom>
      <diagonal/>
    </border>
    <border>
      <left style="medium">
        <color rgb="FFFF7C80"/>
      </left>
      <right style="medium">
        <color rgb="FFFF7C80"/>
      </right>
      <top style="medium">
        <color rgb="FFFF7C80"/>
      </top>
      <bottom style="thin">
        <color rgb="FFFF7C80"/>
      </bottom>
      <diagonal/>
    </border>
    <border>
      <left style="medium">
        <color rgb="FFFF7C80"/>
      </left>
      <right style="medium">
        <color rgb="FFFF7C80"/>
      </right>
      <top style="thin">
        <color rgb="FFFF7C80"/>
      </top>
      <bottom/>
      <diagonal/>
    </border>
    <border>
      <left/>
      <right style="medium">
        <color rgb="FFFF7C80"/>
      </right>
      <top style="thin">
        <color rgb="FFFF7C80"/>
      </top>
      <bottom style="thin">
        <color rgb="FFFF7C80"/>
      </bottom>
      <diagonal/>
    </border>
    <border>
      <left style="medium">
        <color theme="0"/>
      </left>
      <right style="medium">
        <color rgb="FFFF7C80"/>
      </right>
      <top/>
      <bottom style="medium">
        <color rgb="FFFF7C80"/>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theme="0" tint="-0.499984740745262"/>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FF7C80"/>
      </left>
      <right style="thin">
        <color theme="0"/>
      </right>
      <top style="medium">
        <color theme="2"/>
      </top>
      <bottom style="thin">
        <color theme="0"/>
      </bottom>
      <diagonal/>
    </border>
    <border>
      <left style="medium">
        <color rgb="FFFF7C80"/>
      </left>
      <right style="thin">
        <color theme="0"/>
      </right>
      <top style="medium">
        <color rgb="FFFF7C80"/>
      </top>
      <bottom/>
      <diagonal/>
    </border>
    <border>
      <left style="thin">
        <color indexed="64"/>
      </left>
      <right/>
      <top style="thin">
        <color indexed="64"/>
      </top>
      <bottom style="thin">
        <color theme="0" tint="-0.499984740745262"/>
      </bottom>
      <diagonal/>
    </border>
    <border>
      <left/>
      <right/>
      <top style="thin">
        <color theme="0" tint="-0.499984740745262"/>
      </top>
      <bottom style="thin">
        <color theme="0" tint="-0.499984740745262"/>
      </bottom>
      <diagonal/>
    </border>
    <border>
      <left style="thin">
        <color theme="0"/>
      </left>
      <right style="thin">
        <color theme="0"/>
      </right>
      <top style="thin">
        <color theme="0"/>
      </top>
      <bottom/>
      <diagonal/>
    </border>
    <border>
      <left style="thin">
        <color theme="0"/>
      </left>
      <right style="medium">
        <color rgb="FFFF7C80"/>
      </right>
      <top style="medium">
        <color rgb="FFFF7C80"/>
      </top>
      <bottom style="thin">
        <color rgb="FFFF7C80"/>
      </bottom>
      <diagonal/>
    </border>
    <border>
      <left style="thin">
        <color theme="0"/>
      </left>
      <right style="medium">
        <color rgb="FFFF7C80"/>
      </right>
      <top style="thin">
        <color rgb="FFFF7C80"/>
      </top>
      <bottom style="thin">
        <color rgb="FFFF7C80"/>
      </bottom>
      <diagonal/>
    </border>
    <border>
      <left style="thin">
        <color theme="0"/>
      </left>
      <right style="medium">
        <color rgb="FFFF7C80"/>
      </right>
      <top style="thin">
        <color rgb="FFFF7C80"/>
      </top>
      <bottom style="medium">
        <color rgb="FFFF7C80"/>
      </bottom>
      <diagonal/>
    </border>
    <border>
      <left style="thin">
        <color theme="0"/>
      </left>
      <right style="thin">
        <color theme="0"/>
      </right>
      <top style="medium">
        <color rgb="FFFF7C80"/>
      </top>
      <bottom style="thin">
        <color rgb="FFFF7C80"/>
      </bottom>
      <diagonal/>
    </border>
    <border>
      <left style="thin">
        <color theme="0"/>
      </left>
      <right style="thin">
        <color theme="0"/>
      </right>
      <top style="thin">
        <color rgb="FFFF7C80"/>
      </top>
      <bottom style="thin">
        <color rgb="FFFF7C80"/>
      </bottom>
      <diagonal/>
    </border>
    <border>
      <left style="thin">
        <color theme="0"/>
      </left>
      <right style="thin">
        <color theme="0"/>
      </right>
      <top style="thin">
        <color rgb="FFFF7C80"/>
      </top>
      <bottom style="medium">
        <color rgb="FFFF7C80"/>
      </bottom>
      <diagonal/>
    </border>
    <border>
      <left style="thin">
        <color theme="0"/>
      </left>
      <right style="medium">
        <color rgb="FFFF7C80"/>
      </right>
      <top style="medium">
        <color rgb="FFFF7C80"/>
      </top>
      <bottom style="thin">
        <color rgb="FFFF9999"/>
      </bottom>
      <diagonal/>
    </border>
    <border>
      <left style="thin">
        <color theme="0"/>
      </left>
      <right style="medium">
        <color rgb="FFFF7C80"/>
      </right>
      <top style="thin">
        <color rgb="FFFF9999"/>
      </top>
      <bottom style="thin">
        <color rgb="FFFF9999"/>
      </bottom>
      <diagonal/>
    </border>
    <border>
      <left style="thin">
        <color theme="0"/>
      </left>
      <right style="medium">
        <color rgb="FFFF7C80"/>
      </right>
      <top style="thin">
        <color rgb="FFFF9999"/>
      </top>
      <bottom style="medium">
        <color rgb="FFFF7C80"/>
      </bottom>
      <diagonal/>
    </border>
    <border>
      <left/>
      <right style="thin">
        <color theme="0"/>
      </right>
      <top style="medium">
        <color rgb="FFFF7C8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medium">
        <color rgb="FFFF7C80"/>
      </bottom>
      <diagonal/>
    </border>
    <border>
      <left style="thin">
        <color theme="0"/>
      </left>
      <right style="thin">
        <color rgb="FFFF7C80"/>
      </right>
      <top style="medium">
        <color rgb="FFFF7C80"/>
      </top>
      <bottom style="thin">
        <color rgb="FFFF7C80"/>
      </bottom>
      <diagonal/>
    </border>
    <border>
      <left style="thin">
        <color theme="0"/>
      </left>
      <right style="thin">
        <color rgb="FFFF7C80"/>
      </right>
      <top style="thin">
        <color rgb="FFFF7C80"/>
      </top>
      <bottom style="thin">
        <color rgb="FFFF7C80"/>
      </bottom>
      <diagonal/>
    </border>
    <border>
      <left style="thin">
        <color theme="0"/>
      </left>
      <right style="thin">
        <color rgb="FFFF7C80"/>
      </right>
      <top style="thin">
        <color rgb="FFFF7C80"/>
      </top>
      <bottom style="medium">
        <color rgb="FFFF7C80"/>
      </bottom>
      <diagonal/>
    </border>
    <border>
      <left/>
      <right style="medium">
        <color rgb="FFFF7C80"/>
      </right>
      <top style="thin">
        <color rgb="FFFF7C80"/>
      </top>
      <bottom style="medium">
        <color rgb="FFFF7C80"/>
      </bottom>
      <diagonal/>
    </border>
    <border>
      <left style="thin">
        <color theme="0" tint="-0.499984740745262"/>
      </left>
      <right style="thin">
        <color theme="0" tint="-0.499984740745262"/>
      </right>
      <top style="thin">
        <color theme="0" tint="-0.499984740745262"/>
      </top>
      <bottom/>
      <diagonal/>
    </border>
    <border>
      <left style="thin">
        <color rgb="FFFF9999"/>
      </left>
      <right style="medium">
        <color rgb="FFFF7C80"/>
      </right>
      <top style="medium">
        <color rgb="FFFF7C80"/>
      </top>
      <bottom style="medium">
        <color rgb="FFFF7C80"/>
      </bottom>
      <diagonal/>
    </border>
    <border>
      <left style="medium">
        <color rgb="FFFF7C80"/>
      </left>
      <right style="thin">
        <color theme="0"/>
      </right>
      <top/>
      <bottom style="thin">
        <color theme="0"/>
      </bottom>
      <diagonal/>
    </border>
    <border>
      <left style="thin">
        <color theme="0"/>
      </left>
      <right/>
      <top/>
      <bottom style="thin">
        <color theme="0"/>
      </bottom>
      <diagonal/>
    </border>
  </borders>
  <cellStyleXfs count="6">
    <xf numFmtId="0" fontId="0" fillId="0" borderId="0"/>
    <xf numFmtId="0" fontId="9" fillId="0" borderId="0" applyNumberFormat="0" applyFill="0" applyBorder="0" applyAlignment="0" applyProtection="0"/>
    <xf numFmtId="9" fontId="14" fillId="0" borderId="0" applyFont="0" applyFill="0" applyBorder="0" applyAlignment="0" applyProtection="0"/>
    <xf numFmtId="164" fontId="14" fillId="0" borderId="0" applyFont="0" applyFill="0" applyBorder="0" applyAlignment="0" applyProtection="0"/>
    <xf numFmtId="0" fontId="14" fillId="0" borderId="0"/>
    <xf numFmtId="0" fontId="33" fillId="0" borderId="0"/>
  </cellStyleXfs>
  <cellXfs count="1567">
    <xf numFmtId="0" fontId="0" fillId="0" borderId="0" xfId="0"/>
    <xf numFmtId="0" fontId="0" fillId="0" borderId="0" xfId="0" applyAlignment="1">
      <alignment horizontal="center"/>
    </xf>
    <xf numFmtId="0" fontId="2" fillId="2" borderId="0" xfId="0" applyFont="1" applyFill="1"/>
    <xf numFmtId="0" fontId="0" fillId="0" borderId="2" xfId="0" applyBorder="1" applyAlignment="1">
      <alignment horizontal="center"/>
    </xf>
    <xf numFmtId="0" fontId="1" fillId="0" borderId="0" xfId="0" applyFont="1"/>
    <xf numFmtId="0" fontId="0" fillId="0" borderId="3" xfId="0" applyBorder="1"/>
    <xf numFmtId="0" fontId="0" fillId="0" borderId="5" xfId="0" applyBorder="1" applyAlignment="1">
      <alignment horizontal="center"/>
    </xf>
    <xf numFmtId="0" fontId="0" fillId="0" borderId="6" xfId="0" applyBorder="1"/>
    <xf numFmtId="0" fontId="0" fillId="0" borderId="8" xfId="0" applyBorder="1"/>
    <xf numFmtId="0" fontId="0" fillId="0" borderId="9" xfId="0" applyBorder="1"/>
    <xf numFmtId="0" fontId="0" fillId="0" borderId="7" xfId="0" applyBorder="1" applyAlignment="1">
      <alignment horizontal="center"/>
    </xf>
    <xf numFmtId="0" fontId="0" fillId="0" borderId="10" xfId="0" applyBorder="1" applyAlignment="1">
      <alignment horizontal="center"/>
    </xf>
    <xf numFmtId="0" fontId="0" fillId="0" borderId="9" xfId="0" applyBorder="1" applyAlignment="1">
      <alignment horizontal="center"/>
    </xf>
    <xf numFmtId="0" fontId="1"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3" fillId="0" borderId="0" xfId="0" applyFont="1" applyAlignment="1">
      <alignment horizontal="left" vertical="center" wrapText="1" indent="1"/>
    </xf>
    <xf numFmtId="0" fontId="1" fillId="2" borderId="3" xfId="0" applyFont="1" applyFill="1" applyBorder="1"/>
    <xf numFmtId="0" fontId="1" fillId="2" borderId="4" xfId="0" applyFont="1" applyFill="1" applyBorder="1"/>
    <xf numFmtId="0" fontId="0" fillId="0" borderId="11" xfId="0" applyBorder="1"/>
    <xf numFmtId="0" fontId="0" fillId="0" borderId="11" xfId="0" applyBorder="1" applyAlignment="1">
      <alignment wrapText="1"/>
    </xf>
    <xf numFmtId="0" fontId="0" fillId="0" borderId="11" xfId="0" applyBorder="1" applyAlignment="1">
      <alignment vertical="center" wrapText="1"/>
    </xf>
    <xf numFmtId="0" fontId="7" fillId="2" borderId="0" xfId="0" applyFont="1" applyFill="1" applyAlignment="1">
      <alignment vertical="center"/>
    </xf>
    <xf numFmtId="0" fontId="0" fillId="2" borderId="0" xfId="0" applyFill="1"/>
    <xf numFmtId="0" fontId="0" fillId="2" borderId="0" xfId="0" applyFill="1" applyAlignment="1">
      <alignment horizontal="center"/>
    </xf>
    <xf numFmtId="0" fontId="1" fillId="2" borderId="0" xfId="0" applyFont="1" applyFill="1"/>
    <xf numFmtId="0" fontId="1" fillId="0" borderId="13" xfId="0" applyFont="1" applyBorder="1"/>
    <xf numFmtId="0" fontId="1" fillId="0" borderId="14" xfId="0" applyFont="1" applyBorder="1"/>
    <xf numFmtId="0" fontId="0" fillId="0" borderId="15" xfId="0" applyBorder="1"/>
    <xf numFmtId="0" fontId="10" fillId="5" borderId="0" xfId="0" applyFont="1" applyFill="1" applyAlignment="1">
      <alignment vertical="center"/>
    </xf>
    <xf numFmtId="0" fontId="10" fillId="5" borderId="0" xfId="0" applyFont="1" applyFill="1"/>
    <xf numFmtId="0" fontId="9" fillId="0" borderId="0" xfId="1"/>
    <xf numFmtId="0" fontId="10" fillId="6" borderId="0" xfId="0" applyFont="1" applyFill="1"/>
    <xf numFmtId="0" fontId="11" fillId="7" borderId="0" xfId="0" applyFont="1" applyFill="1" applyAlignment="1">
      <alignment horizontal="right"/>
    </xf>
    <xf numFmtId="0" fontId="11" fillId="7" borderId="0" xfId="0" applyFont="1" applyFill="1"/>
    <xf numFmtId="0" fontId="10" fillId="0" borderId="0" xfId="0" applyFont="1" applyAlignment="1">
      <alignment vertical="center"/>
    </xf>
    <xf numFmtId="0" fontId="9" fillId="0" borderId="0" xfId="1" applyFill="1"/>
    <xf numFmtId="0" fontId="10" fillId="0" borderId="0" xfId="0" applyFont="1"/>
    <xf numFmtId="0" fontId="0" fillId="8" borderId="0" xfId="0" applyFill="1"/>
    <xf numFmtId="0" fontId="0" fillId="8" borderId="0" xfId="0" applyFill="1" applyAlignment="1">
      <alignment wrapText="1"/>
    </xf>
    <xf numFmtId="0" fontId="0" fillId="0" borderId="0" xfId="0" applyAlignment="1">
      <alignment wrapText="1"/>
    </xf>
    <xf numFmtId="0" fontId="12" fillId="0" borderId="0" xfId="0" applyFont="1"/>
    <xf numFmtId="0" fontId="0" fillId="9" borderId="0" xfId="0" applyFill="1" applyAlignment="1">
      <alignment horizontal="right"/>
    </xf>
    <xf numFmtId="0" fontId="0" fillId="9" borderId="0" xfId="0" applyFill="1"/>
    <xf numFmtId="0" fontId="0" fillId="7" borderId="0" xfId="0" applyFill="1" applyAlignment="1">
      <alignment horizontal="right"/>
    </xf>
    <xf numFmtId="0" fontId="0" fillId="0" borderId="16" xfId="0" applyBorder="1" applyAlignment="1">
      <alignment horizontal="center" vertical="center"/>
    </xf>
    <xf numFmtId="0" fontId="0" fillId="0" borderId="17" xfId="0" applyBorder="1"/>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2" xfId="0" applyFont="1" applyBorder="1"/>
    <xf numFmtId="0" fontId="1" fillId="0" borderId="21" xfId="0" applyFont="1" applyBorder="1"/>
    <xf numFmtId="0" fontId="1" fillId="0" borderId="24" xfId="0" applyFont="1" applyBorder="1"/>
    <xf numFmtId="0" fontId="0" fillId="0" borderId="25" xfId="0" applyBorder="1" applyAlignment="1">
      <alignment wrapText="1"/>
    </xf>
    <xf numFmtId="0" fontId="0" fillId="0" borderId="26" xfId="0" applyBorder="1" applyAlignment="1">
      <alignment wrapText="1"/>
    </xf>
    <xf numFmtId="0" fontId="0" fillId="0" borderId="22" xfId="0" applyBorder="1"/>
    <xf numFmtId="0" fontId="1" fillId="0" borderId="12"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 xfId="0" applyFont="1" applyBorder="1" applyAlignment="1">
      <alignment horizontal="center" vertical="center" wrapText="1"/>
    </xf>
    <xf numFmtId="9" fontId="0" fillId="0" borderId="0" xfId="0" applyNumberFormat="1"/>
    <xf numFmtId="0" fontId="7" fillId="0" borderId="29" xfId="0" applyFont="1" applyBorder="1" applyAlignment="1">
      <alignment horizontal="center" vertical="center" wrapText="1"/>
    </xf>
    <xf numFmtId="0" fontId="7" fillId="0" borderId="30" xfId="0" applyFont="1" applyBorder="1" applyAlignment="1">
      <alignment horizontal="center" vertical="center" wrapText="1"/>
    </xf>
    <xf numFmtId="9" fontId="7" fillId="0" borderId="31" xfId="2"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1" xfId="0" applyFont="1" applyFill="1" applyBorder="1"/>
    <xf numFmtId="0" fontId="1" fillId="0" borderId="0" xfId="0" applyFont="1" applyAlignment="1">
      <alignment horizontal="center" vertical="center"/>
    </xf>
    <xf numFmtId="0" fontId="1" fillId="0" borderId="2" xfId="0" applyFont="1" applyBorder="1" applyAlignment="1">
      <alignment horizontal="center"/>
    </xf>
    <xf numFmtId="0" fontId="1" fillId="0" borderId="1" xfId="0" applyFont="1" applyBorder="1" applyAlignment="1">
      <alignment horizontal="center"/>
    </xf>
    <xf numFmtId="0" fontId="1" fillId="0" borderId="19" xfId="0" applyFont="1" applyBorder="1"/>
    <xf numFmtId="0" fontId="1" fillId="0" borderId="2" xfId="0" applyFont="1" applyBorder="1"/>
    <xf numFmtId="0" fontId="0" fillId="3" borderId="1"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0" fillId="3" borderId="0" xfId="0" applyFill="1" applyAlignment="1" applyProtection="1">
      <alignment horizontal="center"/>
      <protection locked="0"/>
    </xf>
    <xf numFmtId="0" fontId="0" fillId="3" borderId="9" xfId="0" applyFill="1" applyBorder="1" applyAlignment="1" applyProtection="1">
      <alignment horizontal="center"/>
      <protection locked="0"/>
    </xf>
    <xf numFmtId="0" fontId="0" fillId="3" borderId="36" xfId="0" applyFill="1" applyBorder="1" applyProtection="1">
      <protection locked="0"/>
    </xf>
    <xf numFmtId="0" fontId="0" fillId="3" borderId="37" xfId="0" applyFill="1" applyBorder="1" applyProtection="1">
      <protection locked="0"/>
    </xf>
    <xf numFmtId="0" fontId="0" fillId="3" borderId="39" xfId="0" applyFill="1" applyBorder="1" applyAlignment="1" applyProtection="1">
      <alignment horizontal="center"/>
      <protection locked="0"/>
    </xf>
    <xf numFmtId="0" fontId="0" fillId="3" borderId="35" xfId="0" applyFill="1" applyBorder="1" applyAlignment="1" applyProtection="1">
      <alignment horizontal="center"/>
      <protection locked="0"/>
    </xf>
    <xf numFmtId="0" fontId="0" fillId="3" borderId="38" xfId="0" applyFill="1" applyBorder="1" applyAlignment="1" applyProtection="1">
      <alignment horizontal="center"/>
      <protection locked="0"/>
    </xf>
    <xf numFmtId="0" fontId="0" fillId="3" borderId="20" xfId="0" applyFill="1" applyBorder="1" applyAlignment="1" applyProtection="1">
      <alignment horizontal="center" vertical="center"/>
      <protection locked="0"/>
    </xf>
    <xf numFmtId="0" fontId="0" fillId="3" borderId="11" xfId="0" applyFill="1" applyBorder="1" applyProtection="1">
      <protection locked="0"/>
    </xf>
    <xf numFmtId="0" fontId="8" fillId="2" borderId="1" xfId="0" applyFont="1" applyFill="1" applyBorder="1" applyAlignment="1">
      <alignment horizontal="center" vertical="center" wrapText="1"/>
    </xf>
    <xf numFmtId="0" fontId="0" fillId="3" borderId="11" xfId="0" applyFill="1" applyBorder="1" applyAlignment="1" applyProtection="1">
      <alignment horizontal="center" vertical="center"/>
      <protection locked="0"/>
    </xf>
    <xf numFmtId="0" fontId="0" fillId="3" borderId="6" xfId="0" applyFill="1" applyBorder="1" applyProtection="1">
      <protection locked="0"/>
    </xf>
    <xf numFmtId="0" fontId="0" fillId="3" borderId="8" xfId="0" applyFill="1" applyBorder="1" applyProtection="1">
      <protection locked="0"/>
    </xf>
    <xf numFmtId="0" fontId="0" fillId="3" borderId="3" xfId="0" applyFill="1" applyBorder="1" applyProtection="1">
      <protection locked="0"/>
    </xf>
    <xf numFmtId="0" fontId="0" fillId="0" borderId="21" xfId="0" applyBorder="1" applyAlignment="1">
      <alignment horizontal="center"/>
    </xf>
    <xf numFmtId="0" fontId="0" fillId="0" borderId="44" xfId="0" applyBorder="1" applyAlignment="1">
      <alignment horizontal="center"/>
    </xf>
    <xf numFmtId="0" fontId="0" fillId="0" borderId="28" xfId="0" applyBorder="1" applyAlignment="1">
      <alignment horizontal="center"/>
    </xf>
    <xf numFmtId="0" fontId="8" fillId="2" borderId="44" xfId="0" applyFont="1" applyFill="1" applyBorder="1" applyAlignment="1">
      <alignment horizontal="center" vertical="center" wrapText="1"/>
    </xf>
    <xf numFmtId="0" fontId="0" fillId="0" borderId="28" xfId="0" applyBorder="1"/>
    <xf numFmtId="0" fontId="0" fillId="0" borderId="21" xfId="0" applyBorder="1"/>
    <xf numFmtId="0" fontId="8" fillId="2" borderId="6"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0" fillId="11" borderId="13" xfId="0" applyFill="1" applyBorder="1"/>
    <xf numFmtId="0" fontId="0" fillId="11" borderId="14" xfId="0" applyFill="1" applyBorder="1"/>
    <xf numFmtId="0" fontId="0" fillId="11" borderId="15" xfId="0" applyFill="1" applyBorder="1"/>
    <xf numFmtId="0" fontId="0" fillId="11" borderId="16" xfId="0" applyFill="1" applyBorder="1"/>
    <xf numFmtId="0" fontId="8" fillId="2" borderId="17" xfId="0" applyFont="1" applyFill="1" applyBorder="1" applyAlignment="1">
      <alignment horizontal="right"/>
    </xf>
    <xf numFmtId="0" fontId="0" fillId="0" borderId="46" xfId="0" applyBorder="1"/>
    <xf numFmtId="0" fontId="8" fillId="2" borderId="18" xfId="0" applyFont="1" applyFill="1" applyBorder="1"/>
    <xf numFmtId="0" fontId="0" fillId="11" borderId="15" xfId="0" applyFill="1" applyBorder="1" applyAlignment="1">
      <alignment wrapText="1"/>
    </xf>
    <xf numFmtId="0" fontId="0" fillId="2" borderId="18" xfId="0" applyFill="1" applyBorder="1" applyAlignment="1">
      <alignment vertical="center"/>
    </xf>
    <xf numFmtId="0" fontId="0" fillId="3" borderId="45" xfId="0" applyFill="1" applyBorder="1" applyProtection="1">
      <protection locked="0"/>
    </xf>
    <xf numFmtId="0" fontId="5" fillId="0" borderId="0" xfId="0" applyFont="1" applyAlignment="1">
      <alignment horizontal="center"/>
    </xf>
    <xf numFmtId="0" fontId="5" fillId="0" borderId="0" xfId="0" applyFont="1"/>
    <xf numFmtId="0" fontId="4" fillId="0" borderId="0" xfId="0" applyFont="1"/>
    <xf numFmtId="0" fontId="8" fillId="2" borderId="0" xfId="0" applyFont="1" applyFill="1" applyAlignment="1">
      <alignment horizontal="center" vertical="center" wrapText="1"/>
    </xf>
    <xf numFmtId="9" fontId="1" fillId="2" borderId="10" xfId="0" applyNumberFormat="1" applyFont="1" applyFill="1" applyBorder="1" applyAlignment="1">
      <alignment horizontal="center" vertical="center"/>
    </xf>
    <xf numFmtId="0" fontId="8" fillId="2"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9" fontId="8" fillId="2" borderId="0" xfId="2" applyFont="1" applyFill="1" applyBorder="1" applyAlignment="1">
      <alignment horizontal="center" vertical="center" wrapText="1"/>
    </xf>
    <xf numFmtId="0" fontId="18" fillId="2" borderId="0" xfId="0" applyFont="1" applyFill="1" applyAlignment="1">
      <alignment vertical="center"/>
    </xf>
    <xf numFmtId="0" fontId="21" fillId="2" borderId="0" xfId="0" applyFont="1" applyFill="1" applyAlignment="1">
      <alignment horizontal="center" vertical="center"/>
    </xf>
    <xf numFmtId="0" fontId="21" fillId="2" borderId="0" xfId="0" applyFont="1" applyFill="1" applyAlignment="1">
      <alignment vertical="center"/>
    </xf>
    <xf numFmtId="0" fontId="22" fillId="2" borderId="0" xfId="0" applyFont="1" applyFill="1" applyAlignment="1">
      <alignment vertical="center"/>
    </xf>
    <xf numFmtId="0" fontId="0" fillId="3" borderId="19" xfId="0" applyFill="1" applyBorder="1" applyAlignment="1" applyProtection="1">
      <alignment horizontal="center" vertical="center"/>
      <protection locked="0"/>
    </xf>
    <xf numFmtId="0" fontId="1" fillId="0" borderId="21" xfId="0" applyFont="1" applyBorder="1" applyAlignment="1">
      <alignment horizontal="center" vertical="center" wrapText="1"/>
    </xf>
    <xf numFmtId="0" fontId="0" fillId="0" borderId="11" xfId="0" applyBorder="1" applyAlignment="1">
      <alignment horizontal="center" vertical="center"/>
    </xf>
    <xf numFmtId="14" fontId="0" fillId="0" borderId="11" xfId="0" applyNumberFormat="1" applyBorder="1" applyAlignment="1">
      <alignment horizontal="center" vertical="center"/>
    </xf>
    <xf numFmtId="0" fontId="9" fillId="0" borderId="11" xfId="1" applyBorder="1" applyAlignment="1">
      <alignment horizontal="center" vertical="center"/>
    </xf>
    <xf numFmtId="0" fontId="0" fillId="0" borderId="51" xfId="0" applyBorder="1" applyAlignment="1">
      <alignment horizontal="center" vertical="center"/>
    </xf>
    <xf numFmtId="0" fontId="1" fillId="2" borderId="0" xfId="0" applyFont="1" applyFill="1" applyAlignment="1">
      <alignment horizontal="center"/>
    </xf>
    <xf numFmtId="0" fontId="0" fillId="0" borderId="11" xfId="0" applyBorder="1" applyAlignment="1">
      <alignment horizontal="center" vertical="center" wrapText="1"/>
    </xf>
    <xf numFmtId="0" fontId="0" fillId="0" borderId="11" xfId="0" applyBorder="1" applyAlignment="1">
      <alignment horizontal="center"/>
    </xf>
    <xf numFmtId="0" fontId="0" fillId="0" borderId="11" xfId="0" applyBorder="1" applyAlignment="1">
      <alignment horizontal="center" wrapText="1"/>
    </xf>
    <xf numFmtId="0" fontId="9" fillId="0" borderId="0" xfId="1" applyAlignment="1">
      <alignment horizontal="center"/>
    </xf>
    <xf numFmtId="0" fontId="1" fillId="2" borderId="4" xfId="0" applyFont="1" applyFill="1" applyBorder="1" applyAlignment="1">
      <alignment horizontal="center"/>
    </xf>
    <xf numFmtId="0" fontId="1" fillId="2" borderId="5" xfId="0" applyFont="1" applyFill="1" applyBorder="1" applyAlignment="1">
      <alignment horizontal="center"/>
    </xf>
    <xf numFmtId="14" fontId="0" fillId="0" borderId="0" xfId="0" applyNumberFormat="1" applyAlignment="1">
      <alignment horizontal="center"/>
    </xf>
    <xf numFmtId="0" fontId="0" fillId="0" borderId="11" xfId="0" applyBorder="1" applyAlignment="1">
      <alignment horizontal="left" vertical="center"/>
    </xf>
    <xf numFmtId="0" fontId="0" fillId="0" borderId="11" xfId="0" applyBorder="1" applyAlignment="1">
      <alignment horizontal="left" vertical="center" wrapText="1"/>
    </xf>
    <xf numFmtId="0" fontId="0" fillId="0" borderId="51" xfId="0" applyBorder="1" applyAlignment="1">
      <alignment horizontal="left" vertical="center"/>
    </xf>
    <xf numFmtId="0" fontId="1" fillId="4" borderId="44" xfId="0" applyFont="1" applyFill="1" applyBorder="1" applyAlignment="1">
      <alignment horizontal="left" vertical="center" wrapText="1"/>
    </xf>
    <xf numFmtId="0" fontId="1" fillId="2" borderId="9" xfId="0" applyFont="1" applyFill="1" applyBorder="1" applyAlignment="1">
      <alignment horizontal="center"/>
    </xf>
    <xf numFmtId="0" fontId="0" fillId="13" borderId="53" xfId="0" applyFill="1" applyBorder="1"/>
    <xf numFmtId="0" fontId="7" fillId="4" borderId="21" xfId="0" applyFont="1" applyFill="1" applyBorder="1" applyAlignment="1">
      <alignment horizontal="center" vertical="center" wrapText="1"/>
    </xf>
    <xf numFmtId="0" fontId="0" fillId="0" borderId="0" xfId="0" applyAlignment="1">
      <alignment horizontal="center" vertical="center" wrapText="1"/>
    </xf>
    <xf numFmtId="0" fontId="0" fillId="0" borderId="1" xfId="0" applyBorder="1"/>
    <xf numFmtId="0" fontId="0" fillId="0" borderId="19" xfId="0" applyBorder="1"/>
    <xf numFmtId="0" fontId="0" fillId="0" borderId="2" xfId="0" applyBorder="1"/>
    <xf numFmtId="166" fontId="0" fillId="0" borderId="21" xfId="0" applyNumberFormat="1" applyBorder="1" applyAlignment="1">
      <alignment horizontal="center" vertical="center"/>
    </xf>
    <xf numFmtId="166" fontId="0" fillId="0" borderId="44" xfId="0" applyNumberFormat="1" applyBorder="1" applyAlignment="1">
      <alignment horizontal="center" vertical="center"/>
    </xf>
    <xf numFmtId="166" fontId="0" fillId="0" borderId="28" xfId="0" applyNumberFormat="1" applyBorder="1" applyAlignment="1">
      <alignment horizontal="center" vertical="center"/>
    </xf>
    <xf numFmtId="166" fontId="0" fillId="11" borderId="21" xfId="0" applyNumberFormat="1" applyFill="1" applyBorder="1" applyAlignment="1">
      <alignment horizontal="center" vertical="center"/>
    </xf>
    <xf numFmtId="2" fontId="1" fillId="11" borderId="28" xfId="0" applyNumberFormat="1" applyFont="1" applyFill="1" applyBorder="1" applyAlignment="1">
      <alignment horizontal="center" vertical="center"/>
    </xf>
    <xf numFmtId="0" fontId="0" fillId="0" borderId="53" xfId="0" applyBorder="1" applyAlignment="1">
      <alignment horizontal="center"/>
    </xf>
    <xf numFmtId="0" fontId="0" fillId="8" borderId="0" xfId="0" applyFill="1" applyAlignment="1">
      <alignment horizontal="center"/>
    </xf>
    <xf numFmtId="2" fontId="0" fillId="11" borderId="28" xfId="0" applyNumberFormat="1" applyFill="1" applyBorder="1" applyAlignment="1">
      <alignment horizontal="center" vertical="center"/>
    </xf>
    <xf numFmtId="0" fontId="1" fillId="0" borderId="1" xfId="0" applyFont="1" applyBorder="1" applyAlignment="1">
      <alignment horizontal="center" vertical="center" wrapText="1"/>
    </xf>
    <xf numFmtId="0" fontId="0" fillId="0" borderId="35" xfId="0" applyBorder="1"/>
    <xf numFmtId="0" fontId="0" fillId="11" borderId="60" xfId="0" applyFill="1" applyBorder="1"/>
    <xf numFmtId="0" fontId="0" fillId="11" borderId="33" xfId="0" applyFill="1" applyBorder="1" applyAlignment="1">
      <alignment vertical="center"/>
    </xf>
    <xf numFmtId="0" fontId="8" fillId="2" borderId="12" xfId="0" applyFont="1" applyFill="1" applyBorder="1" applyAlignment="1">
      <alignment vertical="center"/>
    </xf>
    <xf numFmtId="0" fontId="0" fillId="11" borderId="16" xfId="0" applyFill="1" applyBorder="1" applyAlignment="1">
      <alignment vertical="center"/>
    </xf>
    <xf numFmtId="0" fontId="0" fillId="0" borderId="0" xfId="0" applyProtection="1">
      <protection locked="0"/>
    </xf>
    <xf numFmtId="0" fontId="23" fillId="0" borderId="0" xfId="4" applyFont="1" applyProtection="1">
      <protection locked="0"/>
    </xf>
    <xf numFmtId="165" fontId="23" fillId="0" borderId="0" xfId="4" applyNumberFormat="1" applyFont="1" applyAlignment="1" applyProtection="1">
      <alignment horizontal="center" vertical="center"/>
      <protection locked="0"/>
    </xf>
    <xf numFmtId="165" fontId="23" fillId="0" borderId="0" xfId="4" applyNumberFormat="1" applyFont="1" applyProtection="1">
      <protection locked="0"/>
    </xf>
    <xf numFmtId="165" fontId="23" fillId="16" borderId="67" xfId="4" applyNumberFormat="1" applyFont="1" applyFill="1" applyBorder="1" applyAlignment="1" applyProtection="1">
      <alignment horizontal="center" vertical="center"/>
      <protection hidden="1"/>
    </xf>
    <xf numFmtId="0" fontId="33" fillId="0" borderId="74" xfId="5" applyBorder="1" applyAlignment="1">
      <alignment horizontal="left" wrapText="1"/>
    </xf>
    <xf numFmtId="0" fontId="33" fillId="0" borderId="75" xfId="5" applyBorder="1" applyAlignment="1">
      <alignment horizontal="left" wrapText="1"/>
    </xf>
    <xf numFmtId="0" fontId="33" fillId="0" borderId="76" xfId="5" applyBorder="1" applyAlignment="1">
      <alignment horizontal="left" wrapText="1"/>
    </xf>
    <xf numFmtId="0" fontId="34" fillId="19" borderId="74" xfId="5" applyFont="1" applyFill="1" applyBorder="1" applyAlignment="1">
      <alignment horizontal="center" vertical="top" wrapText="1"/>
    </xf>
    <xf numFmtId="0" fontId="34" fillId="19" borderId="75" xfId="5" applyFont="1" applyFill="1" applyBorder="1" applyAlignment="1">
      <alignment horizontal="center" vertical="top" wrapText="1"/>
    </xf>
    <xf numFmtId="0" fontId="34" fillId="19" borderId="76" xfId="5" applyFont="1" applyFill="1" applyBorder="1" applyAlignment="1">
      <alignment horizontal="center" vertical="top" wrapText="1"/>
    </xf>
    <xf numFmtId="0" fontId="34" fillId="19" borderId="77" xfId="5" applyFont="1" applyFill="1" applyBorder="1" applyAlignment="1">
      <alignment vertical="top" wrapText="1"/>
    </xf>
    <xf numFmtId="0" fontId="36" fillId="19" borderId="79" xfId="5" applyFont="1" applyFill="1" applyBorder="1" applyAlignment="1">
      <alignment horizontal="left" vertical="top" wrapText="1"/>
    </xf>
    <xf numFmtId="0" fontId="36" fillId="19" borderId="80" xfId="5" applyFont="1" applyFill="1" applyBorder="1" applyAlignment="1">
      <alignment horizontal="center" vertical="top" wrapText="1"/>
    </xf>
    <xf numFmtId="0" fontId="33" fillId="0" borderId="82" xfId="5" applyBorder="1" applyAlignment="1">
      <alignment horizontal="left" wrapText="1"/>
    </xf>
    <xf numFmtId="0" fontId="33" fillId="0" borderId="0" xfId="5" applyAlignment="1">
      <alignment horizontal="left" wrapText="1"/>
    </xf>
    <xf numFmtId="0" fontId="33" fillId="0" borderId="83" xfId="5" applyBorder="1" applyAlignment="1">
      <alignment horizontal="left" wrapText="1"/>
    </xf>
    <xf numFmtId="0" fontId="36" fillId="19" borderId="77" xfId="5" applyFont="1" applyFill="1" applyBorder="1" applyAlignment="1">
      <alignment horizontal="center" vertical="center" textRotation="90" wrapText="1"/>
    </xf>
    <xf numFmtId="0" fontId="34" fillId="20" borderId="80" xfId="5" applyFont="1" applyFill="1" applyBorder="1" applyAlignment="1">
      <alignment horizontal="left" vertical="top" wrapText="1"/>
    </xf>
    <xf numFmtId="1" fontId="38" fillId="20" borderId="80" xfId="5" applyNumberFormat="1" applyFont="1" applyFill="1" applyBorder="1" applyAlignment="1">
      <alignment horizontal="center" vertical="top" shrinkToFit="1"/>
    </xf>
    <xf numFmtId="0" fontId="36" fillId="19" borderId="85" xfId="5" applyFont="1" applyFill="1" applyBorder="1" applyAlignment="1">
      <alignment horizontal="left" vertical="top" wrapText="1" indent="1"/>
    </xf>
    <xf numFmtId="0" fontId="36" fillId="19" borderId="80" xfId="5" applyFont="1" applyFill="1" applyBorder="1" applyAlignment="1">
      <alignment horizontal="right" vertical="top" wrapText="1" indent="2"/>
    </xf>
    <xf numFmtId="0" fontId="36" fillId="19" borderId="80" xfId="5" applyFont="1" applyFill="1" applyBorder="1" applyAlignment="1">
      <alignment horizontal="left" vertical="top" wrapText="1"/>
    </xf>
    <xf numFmtId="0" fontId="9" fillId="0" borderId="0" xfId="1" quotePrefix="1"/>
    <xf numFmtId="2" fontId="38" fillId="20" borderId="80" xfId="5" applyNumberFormat="1" applyFont="1" applyFill="1" applyBorder="1" applyAlignment="1">
      <alignment horizontal="center" vertical="top" shrinkToFit="1"/>
    </xf>
    <xf numFmtId="0" fontId="36" fillId="19" borderId="80" xfId="5" applyFont="1" applyFill="1" applyBorder="1" applyAlignment="1">
      <alignment horizontal="center" vertical="center" wrapText="1"/>
    </xf>
    <xf numFmtId="0" fontId="34" fillId="20" borderId="80" xfId="5" applyFont="1" applyFill="1" applyBorder="1" applyAlignment="1">
      <alignment horizontal="center" vertical="top" wrapText="1"/>
    </xf>
    <xf numFmtId="2" fontId="38" fillId="20" borderId="80" xfId="5" applyNumberFormat="1" applyFont="1" applyFill="1" applyBorder="1" applyAlignment="1">
      <alignment horizontal="center" vertical="center" shrinkToFit="1"/>
    </xf>
    <xf numFmtId="0" fontId="36" fillId="19" borderId="80" xfId="5" applyFont="1" applyFill="1" applyBorder="1" applyAlignment="1">
      <alignment horizontal="left" vertical="top" wrapText="1" indent="1"/>
    </xf>
    <xf numFmtId="2" fontId="38" fillId="0" borderId="80" xfId="5" applyNumberFormat="1" applyFont="1" applyBorder="1" applyAlignment="1">
      <alignment horizontal="center" vertical="top" shrinkToFit="1"/>
    </xf>
    <xf numFmtId="2" fontId="38" fillId="0" borderId="80" xfId="5" applyNumberFormat="1" applyFont="1" applyBorder="1" applyAlignment="1">
      <alignment horizontal="center" vertical="center" shrinkToFit="1"/>
    </xf>
    <xf numFmtId="0" fontId="33" fillId="0" borderId="84" xfId="5" applyBorder="1" applyAlignment="1">
      <alignment horizontal="left" wrapText="1"/>
    </xf>
    <xf numFmtId="0" fontId="34" fillId="20" borderId="77" xfId="5" applyFont="1" applyFill="1" applyBorder="1" applyAlignment="1">
      <alignment vertical="top" wrapText="1"/>
    </xf>
    <xf numFmtId="2" fontId="38" fillId="20" borderId="77" xfId="5" applyNumberFormat="1" applyFont="1" applyFill="1" applyBorder="1" applyAlignment="1">
      <alignment horizontal="center" vertical="center" shrinkToFit="1"/>
    </xf>
    <xf numFmtId="0" fontId="34" fillId="0" borderId="77" xfId="5" applyFont="1" applyBorder="1" applyAlignment="1">
      <alignment vertical="top" wrapText="1"/>
    </xf>
    <xf numFmtId="2" fontId="38" fillId="0" borderId="77" xfId="5" applyNumberFormat="1" applyFont="1" applyBorder="1" applyAlignment="1">
      <alignment horizontal="center" vertical="center" shrinkToFit="1"/>
    </xf>
    <xf numFmtId="0" fontId="34" fillId="0" borderId="80" xfId="5" applyFont="1" applyBorder="1" applyAlignment="1">
      <alignment horizontal="left" vertical="top" wrapText="1"/>
    </xf>
    <xf numFmtId="0" fontId="34" fillId="0" borderId="77" xfId="5" applyFont="1" applyBorder="1" applyAlignment="1">
      <alignment horizontal="left" vertical="top" wrapText="1"/>
    </xf>
    <xf numFmtId="0" fontId="36" fillId="19" borderId="76" xfId="5" applyFont="1" applyFill="1" applyBorder="1" applyAlignment="1">
      <alignment horizontal="center" vertical="center" textRotation="90" wrapText="1"/>
    </xf>
    <xf numFmtId="0" fontId="34" fillId="20" borderId="79" xfId="5" applyFont="1" applyFill="1" applyBorder="1" applyAlignment="1">
      <alignment horizontal="left" vertical="top" wrapText="1"/>
    </xf>
    <xf numFmtId="0" fontId="0" fillId="0" borderId="89" xfId="0" applyBorder="1"/>
    <xf numFmtId="0" fontId="34" fillId="20" borderId="83" xfId="5" applyFont="1" applyFill="1" applyBorder="1" applyAlignment="1">
      <alignment horizontal="left" vertical="top" wrapText="1"/>
    </xf>
    <xf numFmtId="0" fontId="34" fillId="20" borderId="83" xfId="5" applyFont="1" applyFill="1" applyBorder="1" applyAlignment="1">
      <alignment horizontal="center" vertical="top" wrapText="1"/>
    </xf>
    <xf numFmtId="0" fontId="0" fillId="0" borderId="53" xfId="0" applyBorder="1"/>
    <xf numFmtId="0" fontId="23" fillId="0" borderId="53" xfId="4" applyFont="1" applyBorder="1"/>
    <xf numFmtId="9" fontId="0" fillId="0" borderId="53" xfId="2" applyFont="1" applyBorder="1"/>
    <xf numFmtId="167" fontId="23" fillId="0" borderId="53" xfId="3" applyNumberFormat="1" applyFont="1" applyBorder="1"/>
    <xf numFmtId="9" fontId="0" fillId="0" borderId="53" xfId="0" applyNumberFormat="1" applyBorder="1"/>
    <xf numFmtId="0" fontId="23" fillId="0" borderId="0" xfId="4" applyFont="1"/>
    <xf numFmtId="0" fontId="34" fillId="20" borderId="0" xfId="5" applyFont="1" applyFill="1" applyAlignment="1">
      <alignment horizontal="left" vertical="top" wrapText="1"/>
    </xf>
    <xf numFmtId="0" fontId="42" fillId="22" borderId="80" xfId="0" applyFont="1" applyFill="1" applyBorder="1" applyAlignment="1">
      <alignment horizontal="left" vertical="top" wrapText="1" indent="1"/>
    </xf>
    <xf numFmtId="0" fontId="42" fillId="22" borderId="80" xfId="0" applyFont="1" applyFill="1" applyBorder="1" applyAlignment="1">
      <alignment horizontal="center" vertical="top" wrapText="1"/>
    </xf>
    <xf numFmtId="0" fontId="42" fillId="22" borderId="53" xfId="0" applyFont="1" applyFill="1" applyBorder="1" applyAlignment="1">
      <alignment vertical="center" wrapText="1"/>
    </xf>
    <xf numFmtId="0" fontId="42" fillId="22" borderId="53" xfId="0" applyFont="1" applyFill="1" applyBorder="1" applyAlignment="1">
      <alignment horizontal="center" vertical="top" wrapText="1"/>
    </xf>
    <xf numFmtId="0" fontId="42" fillId="19" borderId="80" xfId="0" applyFont="1" applyFill="1" applyBorder="1" applyAlignment="1">
      <alignment horizontal="left" vertical="top" wrapText="1" indent="1"/>
    </xf>
    <xf numFmtId="2" fontId="45" fillId="0" borderId="80" xfId="0" applyNumberFormat="1" applyFont="1" applyBorder="1" applyAlignment="1">
      <alignment horizontal="center" vertical="top" shrinkToFit="1"/>
    </xf>
    <xf numFmtId="0" fontId="46" fillId="0" borderId="80" xfId="0" applyFont="1" applyBorder="1" applyAlignment="1">
      <alignment horizontal="center" vertical="top" wrapText="1"/>
    </xf>
    <xf numFmtId="0" fontId="0" fillId="0" borderId="53" xfId="0" applyBorder="1" applyAlignment="1">
      <alignment wrapText="1"/>
    </xf>
    <xf numFmtId="164" fontId="14" fillId="0" borderId="53" xfId="3" applyFont="1" applyBorder="1" applyAlignment="1">
      <alignment horizontal="center" vertical="center"/>
    </xf>
    <xf numFmtId="167" fontId="14" fillId="0" borderId="53" xfId="3" applyNumberFormat="1" applyFont="1" applyBorder="1" applyAlignment="1">
      <alignment horizontal="center" vertical="center"/>
    </xf>
    <xf numFmtId="167" fontId="14" fillId="0" borderId="53" xfId="3" applyNumberFormat="1" applyFont="1" applyFill="1" applyBorder="1" applyAlignment="1">
      <alignment horizontal="center" vertical="center"/>
    </xf>
    <xf numFmtId="0" fontId="28" fillId="15" borderId="90" xfId="4" applyFont="1" applyFill="1" applyBorder="1" applyAlignment="1" applyProtection="1">
      <alignment horizontal="left" vertical="center" indent="1"/>
      <protection locked="0"/>
    </xf>
    <xf numFmtId="165" fontId="23" fillId="16" borderId="91" xfId="4" applyNumberFormat="1" applyFont="1" applyFill="1" applyBorder="1" applyAlignment="1" applyProtection="1">
      <alignment horizontal="center" vertical="center"/>
      <protection hidden="1"/>
    </xf>
    <xf numFmtId="2" fontId="45" fillId="20" borderId="80" xfId="0" applyNumberFormat="1" applyFont="1" applyFill="1" applyBorder="1" applyAlignment="1">
      <alignment horizontal="center" vertical="top" shrinkToFit="1"/>
    </xf>
    <xf numFmtId="167" fontId="48" fillId="20" borderId="53" xfId="3" applyNumberFormat="1" applyFont="1" applyFill="1" applyBorder="1" applyAlignment="1">
      <alignment horizontal="center" vertical="center" shrinkToFit="1"/>
    </xf>
    <xf numFmtId="0" fontId="28" fillId="15" borderId="95" xfId="4" applyFont="1" applyFill="1" applyBorder="1" applyAlignment="1" applyProtection="1">
      <alignment horizontal="left" vertical="center" indent="1"/>
      <protection locked="0"/>
    </xf>
    <xf numFmtId="167" fontId="48" fillId="0" borderId="53" xfId="3" applyNumberFormat="1" applyFont="1" applyFill="1" applyBorder="1" applyAlignment="1">
      <alignment horizontal="center" vertical="center" shrinkToFit="1"/>
    </xf>
    <xf numFmtId="165" fontId="23" fillId="17" borderId="67" xfId="4" applyNumberFormat="1" applyFont="1" applyFill="1" applyBorder="1" applyAlignment="1" applyProtection="1">
      <alignment horizontal="center" vertical="center"/>
      <protection hidden="1"/>
    </xf>
    <xf numFmtId="0" fontId="24" fillId="0" borderId="98" xfId="4" applyFont="1" applyBorder="1" applyProtection="1">
      <protection locked="0"/>
    </xf>
    <xf numFmtId="0" fontId="26" fillId="10" borderId="0" xfId="4" applyFont="1" applyFill="1" applyAlignment="1" applyProtection="1">
      <alignment vertical="top" wrapText="1"/>
      <protection locked="0"/>
    </xf>
    <xf numFmtId="0" fontId="26" fillId="10" borderId="96" xfId="4" applyFont="1" applyFill="1" applyBorder="1" applyAlignment="1" applyProtection="1">
      <alignment vertical="top" wrapText="1"/>
      <protection locked="0"/>
    </xf>
    <xf numFmtId="0" fontId="31" fillId="15" borderId="95" xfId="4" applyFont="1" applyFill="1" applyBorder="1" applyAlignment="1" applyProtection="1">
      <alignment horizontal="left" vertical="center" indent="1"/>
      <protection locked="0"/>
    </xf>
    <xf numFmtId="1" fontId="23" fillId="17" borderId="67" xfId="4" applyNumberFormat="1" applyFont="1" applyFill="1" applyBorder="1" applyAlignment="1" applyProtection="1">
      <alignment horizontal="center" vertical="center"/>
      <protection locked="0"/>
    </xf>
    <xf numFmtId="0" fontId="46" fillId="20" borderId="80" xfId="0" applyFont="1" applyFill="1" applyBorder="1" applyAlignment="1">
      <alignment horizontal="center" vertical="top" wrapText="1"/>
    </xf>
    <xf numFmtId="0" fontId="49" fillId="15" borderId="95" xfId="4" applyFont="1" applyFill="1" applyBorder="1" applyAlignment="1" applyProtection="1">
      <alignment horizontal="left" vertical="center" wrapText="1" indent="1"/>
      <protection locked="0"/>
    </xf>
    <xf numFmtId="2" fontId="27" fillId="17" borderId="67" xfId="4" applyNumberFormat="1" applyFont="1" applyFill="1" applyBorder="1" applyAlignment="1" applyProtection="1">
      <alignment horizontal="center" vertical="center"/>
      <protection hidden="1"/>
    </xf>
    <xf numFmtId="0" fontId="0" fillId="0" borderId="96" xfId="0" applyBorder="1" applyProtection="1">
      <protection locked="0"/>
    </xf>
    <xf numFmtId="0" fontId="49" fillId="15" borderId="102" xfId="4" applyFont="1" applyFill="1" applyBorder="1" applyAlignment="1" applyProtection="1">
      <alignment horizontal="left" vertical="center" wrapText="1" indent="1"/>
      <protection locked="0"/>
    </xf>
    <xf numFmtId="2" fontId="27" fillId="17" borderId="103" xfId="4" applyNumberFormat="1" applyFont="1" applyFill="1" applyBorder="1" applyAlignment="1" applyProtection="1">
      <alignment horizontal="center" vertical="center"/>
      <protection hidden="1"/>
    </xf>
    <xf numFmtId="165" fontId="14" fillId="0" borderId="0" xfId="4" applyNumberFormat="1" applyAlignment="1" applyProtection="1">
      <alignment horizontal="center" vertical="center"/>
      <protection locked="0"/>
    </xf>
    <xf numFmtId="0" fontId="14" fillId="0" borderId="0" xfId="4" applyProtection="1">
      <protection locked="0"/>
    </xf>
    <xf numFmtId="165" fontId="14" fillId="0" borderId="0" xfId="4" applyNumberFormat="1" applyProtection="1">
      <protection locked="0"/>
    </xf>
    <xf numFmtId="0" fontId="14" fillId="0" borderId="0" xfId="0" applyFont="1" applyProtection="1">
      <protection locked="0"/>
    </xf>
    <xf numFmtId="0" fontId="14" fillId="0" borderId="0" xfId="4" applyAlignment="1" applyProtection="1">
      <alignment horizontal="left" vertical="center" indent="1"/>
      <protection locked="0"/>
    </xf>
    <xf numFmtId="2" fontId="11" fillId="3" borderId="11" xfId="4" applyNumberFormat="1" applyFont="1" applyFill="1" applyBorder="1" applyAlignment="1" applyProtection="1">
      <alignment horizontal="center" vertical="center"/>
      <protection locked="0"/>
    </xf>
    <xf numFmtId="165" fontId="11" fillId="3" borderId="45" xfId="4" applyNumberFormat="1" applyFont="1" applyFill="1" applyBorder="1" applyAlignment="1" applyProtection="1">
      <alignment horizontal="center" vertical="center"/>
      <protection locked="0"/>
    </xf>
    <xf numFmtId="9" fontId="11" fillId="3" borderId="46" xfId="2" applyFont="1" applyFill="1" applyBorder="1" applyAlignment="1" applyProtection="1">
      <alignment horizontal="center" vertical="center"/>
      <protection locked="0"/>
    </xf>
    <xf numFmtId="0" fontId="11" fillId="3" borderId="46" xfId="4" applyFont="1" applyFill="1" applyBorder="1" applyAlignment="1" applyProtection="1">
      <alignment horizontal="left" vertical="center" wrapText="1" indent="1"/>
      <protection locked="0"/>
    </xf>
    <xf numFmtId="165" fontId="14" fillId="3" borderId="11" xfId="4" applyNumberFormat="1" applyFill="1" applyBorder="1" applyAlignment="1" applyProtection="1">
      <alignment horizontal="center" vertical="center"/>
      <protection locked="0"/>
    </xf>
    <xf numFmtId="165" fontId="14" fillId="0" borderId="46" xfId="4" applyNumberFormat="1" applyBorder="1" applyAlignment="1" applyProtection="1">
      <alignment horizontal="center" vertical="center"/>
      <protection hidden="1"/>
    </xf>
    <xf numFmtId="9" fontId="14" fillId="3" borderId="20" xfId="2" applyFont="1" applyFill="1" applyBorder="1" applyAlignment="1" applyProtection="1">
      <alignment horizontal="center" vertical="center"/>
      <protection locked="0"/>
    </xf>
    <xf numFmtId="0" fontId="11" fillId="3" borderId="107" xfId="4" applyFont="1" applyFill="1" applyBorder="1" applyAlignment="1" applyProtection="1">
      <alignment horizontal="left" vertical="center" wrapText="1" indent="1"/>
      <protection locked="0"/>
    </xf>
    <xf numFmtId="165" fontId="14" fillId="3" borderId="54" xfId="4" applyNumberFormat="1" applyFill="1" applyBorder="1" applyAlignment="1" applyProtection="1">
      <alignment horizontal="center" vertical="center"/>
      <protection locked="0"/>
    </xf>
    <xf numFmtId="2" fontId="14" fillId="3" borderId="54" xfId="4" applyNumberFormat="1" applyFill="1" applyBorder="1" applyAlignment="1" applyProtection="1">
      <alignment horizontal="center" vertical="center"/>
      <protection locked="0"/>
    </xf>
    <xf numFmtId="0" fontId="11" fillId="2" borderId="0" xfId="0" applyFont="1" applyFill="1"/>
    <xf numFmtId="0" fontId="11" fillId="0" borderId="0" xfId="4" applyFont="1" applyProtection="1">
      <protection locked="0"/>
    </xf>
    <xf numFmtId="0" fontId="11" fillId="0" borderId="0" xfId="0" applyFont="1" applyAlignment="1" applyProtection="1">
      <alignment vertical="center"/>
      <protection locked="0"/>
    </xf>
    <xf numFmtId="0" fontId="11" fillId="0" borderId="64" xfId="0" applyFont="1" applyBorder="1" applyAlignment="1" applyProtection="1">
      <alignment vertical="center"/>
      <protection locked="0"/>
    </xf>
    <xf numFmtId="0" fontId="11" fillId="0" borderId="0" xfId="0" applyFont="1" applyAlignment="1" applyProtection="1">
      <alignment horizontal="left" vertical="center"/>
      <protection locked="0"/>
    </xf>
    <xf numFmtId="0" fontId="11" fillId="0" borderId="0" xfId="4" applyFont="1"/>
    <xf numFmtId="0" fontId="11" fillId="11" borderId="13" xfId="0" applyFont="1" applyFill="1" applyBorder="1" applyAlignment="1">
      <alignment horizontal="left" vertical="center" wrapText="1" indent="1"/>
    </xf>
    <xf numFmtId="0" fontId="0" fillId="3" borderId="1" xfId="0" applyFill="1" applyBorder="1" applyAlignment="1" applyProtection="1">
      <alignment horizontal="left"/>
      <protection locked="0"/>
    </xf>
    <xf numFmtId="0" fontId="0" fillId="10" borderId="0" xfId="0" applyFill="1" applyAlignment="1" applyProtection="1">
      <alignment horizontal="center"/>
      <protection locked="0"/>
    </xf>
    <xf numFmtId="0" fontId="0" fillId="10" borderId="19" xfId="0" applyFill="1" applyBorder="1" applyAlignment="1" applyProtection="1">
      <alignment horizontal="center"/>
      <protection locked="0"/>
    </xf>
    <xf numFmtId="0" fontId="1" fillId="0" borderId="49" xfId="0" applyFont="1" applyBorder="1" applyAlignment="1">
      <alignment vertical="center"/>
    </xf>
    <xf numFmtId="0" fontId="1" fillId="0" borderId="41" xfId="0" applyFont="1" applyBorder="1" applyAlignment="1">
      <alignment wrapText="1"/>
    </xf>
    <xf numFmtId="0" fontId="1" fillId="0" borderId="49" xfId="0" applyFont="1" applyBorder="1" applyAlignment="1">
      <alignment horizontal="center" vertical="center"/>
    </xf>
    <xf numFmtId="0" fontId="0" fillId="25" borderId="15" xfId="0" applyFill="1" applyBorder="1"/>
    <xf numFmtId="0" fontId="0" fillId="0" borderId="54" xfId="0" applyBorder="1" applyAlignment="1">
      <alignment horizontal="center" vertical="center"/>
    </xf>
    <xf numFmtId="0" fontId="0" fillId="0" borderId="50" xfId="0" applyBorder="1" applyAlignment="1">
      <alignment horizontal="center"/>
    </xf>
    <xf numFmtId="0" fontId="0" fillId="0" borderId="54" xfId="0" applyBorder="1" applyAlignment="1">
      <alignment horizontal="center"/>
    </xf>
    <xf numFmtId="0" fontId="0" fillId="0" borderId="47" xfId="0" applyBorder="1" applyAlignment="1">
      <alignment horizontal="center"/>
    </xf>
    <xf numFmtId="0" fontId="0" fillId="0" borderId="113" xfId="0" applyBorder="1"/>
    <xf numFmtId="0" fontId="8" fillId="2" borderId="19" xfId="0" applyFont="1" applyFill="1" applyBorder="1" applyAlignment="1">
      <alignment horizontal="center" vertical="center" wrapText="1"/>
    </xf>
    <xf numFmtId="0" fontId="2" fillId="2" borderId="60" xfId="0" applyFont="1" applyFill="1" applyBorder="1" applyAlignment="1">
      <alignment horizontal="left" vertical="center" wrapText="1" indent="1"/>
    </xf>
    <xf numFmtId="0" fontId="2" fillId="2" borderId="135" xfId="0" applyFont="1" applyFill="1" applyBorder="1" applyAlignment="1">
      <alignment vertical="center" wrapText="1"/>
    </xf>
    <xf numFmtId="0" fontId="2" fillId="2" borderId="136" xfId="0" applyFont="1" applyFill="1" applyBorder="1" applyAlignment="1">
      <alignment vertical="center" wrapText="1"/>
    </xf>
    <xf numFmtId="0" fontId="2" fillId="2" borderId="137" xfId="0" applyFont="1" applyFill="1" applyBorder="1" applyAlignment="1">
      <alignment vertical="center" wrapText="1"/>
    </xf>
    <xf numFmtId="0" fontId="0" fillId="3" borderId="144" xfId="0" applyFill="1" applyBorder="1" applyProtection="1">
      <protection locked="0"/>
    </xf>
    <xf numFmtId="0" fontId="0" fillId="3" borderId="145" xfId="0" applyFill="1" applyBorder="1" applyAlignment="1" applyProtection="1">
      <alignment horizontal="center"/>
      <protection locked="0"/>
    </xf>
    <xf numFmtId="0" fontId="1" fillId="0" borderId="3" xfId="0" applyFont="1" applyBorder="1" applyAlignment="1">
      <alignment horizontal="center" vertical="center" wrapText="1"/>
    </xf>
    <xf numFmtId="0" fontId="0" fillId="3" borderId="0" xfId="0" applyFill="1" applyAlignment="1">
      <alignment horizontal="center" vertical="center"/>
    </xf>
    <xf numFmtId="0" fontId="0" fillId="7" borderId="0" xfId="0" applyFill="1"/>
    <xf numFmtId="0" fontId="0" fillId="0" borderId="0" xfId="0" applyAlignment="1">
      <alignment vertical="center" wrapText="1"/>
    </xf>
    <xf numFmtId="0" fontId="58" fillId="28" borderId="0" xfId="0" applyFont="1" applyFill="1" applyAlignment="1">
      <alignment vertical="center" wrapText="1"/>
    </xf>
    <xf numFmtId="0" fontId="58" fillId="0" borderId="0" xfId="0" applyFont="1" applyAlignment="1">
      <alignment horizontal="center" vertical="center"/>
    </xf>
    <xf numFmtId="0" fontId="58" fillId="0" borderId="0" xfId="0" quotePrefix="1" applyFont="1" applyAlignment="1">
      <alignment vertical="center" wrapText="1"/>
    </xf>
    <xf numFmtId="0" fontId="0" fillId="29" borderId="0" xfId="0" applyFill="1" applyAlignment="1">
      <alignment horizontal="center"/>
    </xf>
    <xf numFmtId="0" fontId="0" fillId="0" borderId="53" xfId="0" applyBorder="1" applyAlignment="1">
      <alignment vertical="center" wrapText="1"/>
    </xf>
    <xf numFmtId="0" fontId="0" fillId="0" borderId="0" xfId="0" quotePrefix="1" applyAlignment="1">
      <alignment vertical="center" wrapText="1"/>
    </xf>
    <xf numFmtId="0" fontId="0" fillId="30" borderId="0" xfId="0" applyFill="1" applyAlignment="1">
      <alignment horizontal="center"/>
    </xf>
    <xf numFmtId="0" fontId="1" fillId="0" borderId="5" xfId="0" applyFont="1" applyBorder="1" applyAlignment="1">
      <alignment vertical="center" wrapText="1"/>
    </xf>
    <xf numFmtId="0" fontId="0" fillId="3" borderId="145" xfId="0" applyFill="1" applyBorder="1" applyAlignment="1" applyProtection="1">
      <alignment horizontal="left" indent="1"/>
      <protection locked="0"/>
    </xf>
    <xf numFmtId="0" fontId="0" fillId="3" borderId="35" xfId="0" applyFill="1" applyBorder="1" applyAlignment="1" applyProtection="1">
      <alignment horizontal="left" indent="1"/>
      <protection locked="0"/>
    </xf>
    <xf numFmtId="0" fontId="0" fillId="3" borderId="38" xfId="0" applyFill="1" applyBorder="1" applyAlignment="1" applyProtection="1">
      <alignment horizontal="left" indent="1"/>
      <protection locked="0"/>
    </xf>
    <xf numFmtId="9" fontId="0" fillId="0" borderId="145" xfId="2" applyFont="1" applyFill="1" applyBorder="1" applyAlignment="1">
      <alignment horizontal="center"/>
    </xf>
    <xf numFmtId="9" fontId="0" fillId="0" borderId="35" xfId="2" applyFont="1" applyFill="1" applyBorder="1" applyAlignment="1">
      <alignment horizontal="center"/>
    </xf>
    <xf numFmtId="0" fontId="0" fillId="3" borderId="144" xfId="0" applyFill="1" applyBorder="1" applyAlignment="1" applyProtection="1">
      <alignment horizontal="left" vertical="center" indent="1"/>
      <protection locked="0"/>
    </xf>
    <xf numFmtId="0" fontId="0" fillId="3" borderId="36" xfId="0" applyFill="1" applyBorder="1" applyAlignment="1" applyProtection="1">
      <alignment horizontal="left" vertical="center" indent="1"/>
      <protection locked="0"/>
    </xf>
    <xf numFmtId="0" fontId="0" fillId="3" borderId="37" xfId="0" applyFill="1" applyBorder="1" applyAlignment="1" applyProtection="1">
      <alignment horizontal="left" vertical="center" indent="1"/>
      <protection locked="0"/>
    </xf>
    <xf numFmtId="9" fontId="8" fillId="2" borderId="12" xfId="2" applyFont="1" applyFill="1" applyBorder="1" applyAlignment="1">
      <alignment horizontal="center" vertical="center" wrapText="1"/>
    </xf>
    <xf numFmtId="9" fontId="0" fillId="2" borderId="7" xfId="2" applyFont="1" applyFill="1" applyBorder="1" applyAlignment="1">
      <alignment horizontal="center" vertical="center"/>
    </xf>
    <xf numFmtId="9" fontId="0" fillId="2" borderId="12" xfId="2" applyFont="1" applyFill="1" applyBorder="1" applyAlignment="1">
      <alignment horizontal="center" vertical="center"/>
    </xf>
    <xf numFmtId="0" fontId="8" fillId="2" borderId="2" xfId="0" applyFont="1" applyFill="1" applyBorder="1" applyAlignment="1">
      <alignment horizontal="center" vertical="center" wrapText="1"/>
    </xf>
    <xf numFmtId="9" fontId="8" fillId="2" borderId="2" xfId="2" applyFont="1" applyFill="1" applyBorder="1" applyAlignment="1">
      <alignment horizontal="center" vertical="center" wrapText="1"/>
    </xf>
    <xf numFmtId="0" fontId="11" fillId="11" borderId="3" xfId="0" applyFont="1" applyFill="1" applyBorder="1" applyAlignment="1">
      <alignment horizontal="center" vertical="center" wrapText="1"/>
    </xf>
    <xf numFmtId="0" fontId="11" fillId="11" borderId="21" xfId="0" applyFont="1" applyFill="1" applyBorder="1" applyAlignment="1">
      <alignment horizontal="center" vertical="center" wrapText="1"/>
    </xf>
    <xf numFmtId="0" fontId="7" fillId="4" borderId="44" xfId="0" applyFont="1" applyFill="1" applyBorder="1" applyAlignment="1">
      <alignment horizontal="center" vertical="center" wrapText="1"/>
    </xf>
    <xf numFmtId="0" fontId="0" fillId="0" borderId="53" xfId="0" applyBorder="1" applyAlignment="1">
      <alignment horizontal="center" vertical="center"/>
    </xf>
    <xf numFmtId="0" fontId="11" fillId="0" borderId="53" xfId="1" applyFont="1" applyFill="1" applyBorder="1" applyAlignment="1">
      <alignment horizontal="center" vertical="center"/>
    </xf>
    <xf numFmtId="14" fontId="0" fillId="0" borderId="53" xfId="0" applyNumberFormat="1" applyBorder="1" applyAlignment="1">
      <alignment horizontal="center" vertical="center"/>
    </xf>
    <xf numFmtId="0" fontId="11" fillId="0" borderId="53" xfId="0" applyFont="1" applyBorder="1" applyAlignment="1">
      <alignment horizontal="center" vertical="center"/>
    </xf>
    <xf numFmtId="0" fontId="9" fillId="0" borderId="53" xfId="1" applyFill="1" applyBorder="1" applyAlignment="1">
      <alignment horizontal="center"/>
    </xf>
    <xf numFmtId="14" fontId="11" fillId="0" borderId="53" xfId="0" applyNumberFormat="1" applyFont="1" applyBorder="1" applyAlignment="1">
      <alignment horizontal="center" vertical="center" wrapText="1"/>
    </xf>
    <xf numFmtId="14" fontId="11" fillId="0" borderId="53" xfId="0" applyNumberFormat="1" applyFont="1" applyBorder="1" applyAlignment="1">
      <alignment horizontal="center" vertical="center"/>
    </xf>
    <xf numFmtId="0" fontId="0" fillId="0" borderId="53" xfId="0" applyBorder="1" applyAlignment="1">
      <alignment horizontal="center" vertical="center" wrapText="1"/>
    </xf>
    <xf numFmtId="0" fontId="11" fillId="0" borderId="53" xfId="0" applyFont="1" applyBorder="1" applyAlignment="1">
      <alignment horizontal="center" vertical="center" wrapText="1"/>
    </xf>
    <xf numFmtId="0" fontId="9" fillId="0" borderId="53" xfId="1" applyFill="1" applyBorder="1" applyAlignment="1">
      <alignment horizontal="center" vertical="center"/>
    </xf>
    <xf numFmtId="0" fontId="1" fillId="0" borderId="53" xfId="0" applyFont="1" applyBorder="1" applyAlignment="1">
      <alignment horizontal="center" vertical="center" wrapText="1"/>
    </xf>
    <xf numFmtId="0" fontId="7" fillId="0" borderId="53" xfId="0" applyFont="1" applyBorder="1" applyAlignment="1">
      <alignment horizontal="center" vertical="center"/>
    </xf>
    <xf numFmtId="14" fontId="7" fillId="0" borderId="53" xfId="0" applyNumberFormat="1" applyFont="1" applyBorder="1" applyAlignment="1">
      <alignment horizontal="center" vertical="center"/>
    </xf>
    <xf numFmtId="0" fontId="0" fillId="0" borderId="149" xfId="0" applyBorder="1" applyAlignment="1">
      <alignment horizontal="center"/>
    </xf>
    <xf numFmtId="0" fontId="9" fillId="0" borderId="53" xfId="1" applyBorder="1" applyAlignment="1">
      <alignment horizontal="center" vertical="center" wrapText="1"/>
    </xf>
    <xf numFmtId="0" fontId="0" fillId="3" borderId="20" xfId="0" applyFill="1" applyBorder="1" applyAlignment="1" applyProtection="1">
      <alignment horizontal="center" vertical="center"/>
      <protection locked="0" hidden="1"/>
    </xf>
    <xf numFmtId="0" fontId="0" fillId="3" borderId="20" xfId="0" applyFill="1" applyBorder="1" applyAlignment="1" applyProtection="1">
      <alignment horizontal="center" vertical="center" wrapText="1"/>
      <protection locked="0" hidden="1"/>
    </xf>
    <xf numFmtId="0" fontId="22" fillId="2" borderId="0" xfId="0" applyFont="1" applyFill="1" applyAlignment="1" applyProtection="1">
      <alignment vertical="center"/>
      <protection locked="0"/>
    </xf>
    <xf numFmtId="0" fontId="21" fillId="2" borderId="0" xfId="0" applyFont="1" applyFill="1" applyAlignment="1" applyProtection="1">
      <alignment horizontal="center" vertical="center"/>
      <protection locked="0"/>
    </xf>
    <xf numFmtId="0" fontId="21" fillId="2" borderId="0" xfId="0" applyFont="1" applyFill="1" applyAlignment="1" applyProtection="1">
      <alignment vertical="center"/>
      <protection locked="0"/>
    </xf>
    <xf numFmtId="0" fontId="0" fillId="0" borderId="0" xfId="0" applyAlignment="1" applyProtection="1">
      <alignment horizontal="center"/>
      <protection locked="0"/>
    </xf>
    <xf numFmtId="0" fontId="2" fillId="10" borderId="0" xfId="0" applyFont="1" applyFill="1" applyAlignment="1" applyProtection="1">
      <alignment vertical="center" wrapText="1"/>
      <protection locked="0"/>
    </xf>
    <xf numFmtId="0" fontId="13" fillId="0" borderId="0" xfId="0" applyFont="1" applyProtection="1">
      <protection locked="0"/>
    </xf>
    <xf numFmtId="0" fontId="0" fillId="4" borderId="11" xfId="0" applyFill="1" applyBorder="1" applyAlignment="1" applyProtection="1">
      <alignment horizontal="center" vertical="center"/>
      <protection locked="0"/>
    </xf>
    <xf numFmtId="0" fontId="0" fillId="0" borderId="0" xfId="0" applyAlignment="1" applyProtection="1">
      <alignment wrapText="1"/>
      <protection locked="0"/>
    </xf>
    <xf numFmtId="0" fontId="0" fillId="8" borderId="0" xfId="0" applyFill="1" applyProtection="1">
      <protection locked="0"/>
    </xf>
    <xf numFmtId="0" fontId="0" fillId="0" borderId="0" xfId="0" applyAlignment="1" applyProtection="1">
      <alignment horizontal="center" vertical="center"/>
      <protection locked="0"/>
    </xf>
    <xf numFmtId="0" fontId="0" fillId="0" borderId="0" xfId="0" applyAlignment="1" applyProtection="1">
      <alignment vertical="center"/>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protection hidden="1"/>
    </xf>
    <xf numFmtId="0" fontId="1" fillId="12" borderId="140" xfId="0" applyFont="1" applyFill="1" applyBorder="1" applyProtection="1">
      <protection hidden="1"/>
    </xf>
    <xf numFmtId="0" fontId="1" fillId="12" borderId="140" xfId="0" applyFont="1" applyFill="1" applyBorder="1" applyAlignment="1" applyProtection="1">
      <alignment horizontal="center"/>
      <protection hidden="1"/>
    </xf>
    <xf numFmtId="2" fontId="1" fillId="12" borderId="54" xfId="0" applyNumberFormat="1" applyFont="1" applyFill="1" applyBorder="1" applyAlignment="1" applyProtection="1">
      <alignment horizontal="center"/>
      <protection hidden="1"/>
    </xf>
    <xf numFmtId="0" fontId="1" fillId="12" borderId="50" xfId="0" applyFont="1" applyFill="1" applyBorder="1" applyAlignment="1" applyProtection="1">
      <alignment horizontal="center"/>
      <protection hidden="1"/>
    </xf>
    <xf numFmtId="0" fontId="22" fillId="0" borderId="0" xfId="0" applyFon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2" fillId="10" borderId="0" xfId="0" applyFont="1" applyFill="1" applyAlignment="1" applyProtection="1">
      <alignment vertical="center" wrapText="1"/>
      <protection hidden="1"/>
    </xf>
    <xf numFmtId="0" fontId="22" fillId="2" borderId="0" xfId="0" applyFont="1" applyFill="1" applyAlignment="1" applyProtection="1">
      <alignment vertical="center"/>
      <protection hidden="1"/>
    </xf>
    <xf numFmtId="0" fontId="21" fillId="2" borderId="0" xfId="0" applyFont="1" applyFill="1" applyAlignment="1" applyProtection="1">
      <alignment horizontal="center" vertical="center"/>
      <protection hidden="1"/>
    </xf>
    <xf numFmtId="0" fontId="21" fillId="2" borderId="0" xfId="0" applyFont="1" applyFill="1" applyAlignment="1" applyProtection="1">
      <alignment vertical="center"/>
      <protection hidden="1"/>
    </xf>
    <xf numFmtId="0" fontId="22" fillId="2" borderId="0" xfId="0" applyFont="1" applyFill="1" applyAlignment="1" applyProtection="1">
      <alignment horizontal="center" vertical="center"/>
      <protection hidden="1"/>
    </xf>
    <xf numFmtId="0" fontId="21" fillId="0" borderId="0" xfId="0" applyFont="1" applyAlignment="1" applyProtection="1">
      <alignment horizontal="center" vertical="center"/>
      <protection hidden="1"/>
    </xf>
    <xf numFmtId="0" fontId="21" fillId="0" borderId="0" xfId="0" applyFont="1" applyAlignment="1" applyProtection="1">
      <alignment vertical="center"/>
      <protection hidden="1"/>
    </xf>
    <xf numFmtId="0" fontId="22" fillId="0" borderId="0" xfId="0" applyFont="1" applyAlignment="1" applyProtection="1">
      <alignment horizontal="center" vertical="center"/>
      <protection hidden="1"/>
    </xf>
    <xf numFmtId="0" fontId="2" fillId="10" borderId="0" xfId="0" applyFont="1" applyFill="1" applyAlignment="1">
      <alignment vertical="center" wrapText="1"/>
    </xf>
    <xf numFmtId="0" fontId="0" fillId="4" borderId="54" xfId="0" applyFill="1" applyBorder="1" applyAlignment="1" applyProtection="1">
      <alignment vertical="center"/>
      <protection locked="0"/>
    </xf>
    <xf numFmtId="0" fontId="0" fillId="4" borderId="50" xfId="0" applyFill="1" applyBorder="1" applyAlignment="1" applyProtection="1">
      <alignment vertical="center"/>
      <protection locked="0"/>
    </xf>
    <xf numFmtId="0" fontId="11" fillId="2" borderId="11" xfId="0" applyFont="1" applyFill="1" applyBorder="1" applyAlignment="1" applyProtection="1">
      <alignment vertical="center"/>
      <protection locked="0"/>
    </xf>
    <xf numFmtId="0" fontId="0" fillId="3" borderId="30" xfId="0" applyFill="1" applyBorder="1" applyAlignment="1" applyProtection="1">
      <alignment horizontal="center" vertical="center"/>
      <protection locked="0"/>
    </xf>
    <xf numFmtId="0" fontId="7" fillId="3" borderId="31" xfId="0" applyFont="1" applyFill="1" applyBorder="1" applyAlignment="1" applyProtection="1">
      <alignment horizontal="center" vertical="center"/>
      <protection locked="0"/>
    </xf>
    <xf numFmtId="0" fontId="11" fillId="3" borderId="31" xfId="0" applyFont="1" applyFill="1" applyBorder="1" applyAlignment="1" applyProtection="1">
      <alignment horizontal="center" vertical="center"/>
      <protection locked="0"/>
    </xf>
    <xf numFmtId="0" fontId="1" fillId="0" borderId="0" xfId="0" applyFont="1" applyAlignment="1" applyProtection="1">
      <alignment horizontal="center" vertical="center" wrapText="1"/>
      <protection locked="0"/>
    </xf>
    <xf numFmtId="0" fontId="13" fillId="3" borderId="34" xfId="0" applyFont="1" applyFill="1" applyBorder="1" applyAlignment="1" applyProtection="1">
      <alignment vertical="center" wrapText="1"/>
      <protection locked="0"/>
    </xf>
    <xf numFmtId="0" fontId="0" fillId="3" borderId="41" xfId="0" applyFill="1" applyBorder="1" applyAlignment="1" applyProtection="1">
      <alignment horizontal="center" vertical="center"/>
      <protection locked="0"/>
    </xf>
    <xf numFmtId="0" fontId="0" fillId="3" borderId="41" xfId="0" applyFill="1" applyBorder="1" applyAlignment="1" applyProtection="1">
      <alignment horizontal="center" vertical="center" wrapText="1"/>
      <protection locked="0"/>
    </xf>
    <xf numFmtId="0" fontId="19" fillId="10" borderId="0" xfId="0" applyFont="1" applyFill="1" applyAlignment="1" applyProtection="1">
      <alignment vertical="center" wrapText="1"/>
      <protection locked="0"/>
    </xf>
    <xf numFmtId="165" fontId="0" fillId="3" borderId="11" xfId="0" applyNumberFormat="1" applyFill="1" applyBorder="1" applyAlignment="1" applyProtection="1">
      <alignment vertical="center"/>
      <protection locked="0"/>
    </xf>
    <xf numFmtId="165" fontId="0" fillId="3" borderId="0" xfId="0" applyNumberFormat="1" applyFill="1" applyProtection="1">
      <protection locked="0"/>
    </xf>
    <xf numFmtId="165" fontId="0" fillId="3" borderId="27" xfId="0" applyNumberFormat="1" applyFill="1" applyBorder="1" applyAlignment="1" applyProtection="1">
      <alignment vertical="center"/>
      <protection locked="0"/>
    </xf>
    <xf numFmtId="165" fontId="0" fillId="0" borderId="0" xfId="0" applyNumberFormat="1" applyProtection="1">
      <protection locked="0"/>
    </xf>
    <xf numFmtId="0" fontId="0" fillId="4" borderId="11" xfId="0" applyFill="1" applyBorder="1" applyAlignment="1" applyProtection="1">
      <alignment horizontal="center"/>
      <protection locked="0"/>
    </xf>
    <xf numFmtId="14" fontId="0" fillId="4" borderId="54" xfId="0" applyNumberFormat="1" applyFill="1" applyBorder="1" applyAlignment="1" applyProtection="1">
      <alignment horizontal="center"/>
      <protection locked="0"/>
    </xf>
    <xf numFmtId="1" fontId="0" fillId="4" borderId="20" xfId="0" applyNumberFormat="1" applyFill="1" applyBorder="1" applyAlignment="1" applyProtection="1">
      <alignment horizontal="center"/>
      <protection locked="0"/>
    </xf>
    <xf numFmtId="0" fontId="0" fillId="4" borderId="54" xfId="0" applyFill="1" applyBorder="1" applyAlignment="1" applyProtection="1">
      <alignment horizontal="center"/>
      <protection locked="0"/>
    </xf>
    <xf numFmtId="0" fontId="0" fillId="4" borderId="27" xfId="0" applyFill="1" applyBorder="1" applyAlignment="1" applyProtection="1">
      <alignment horizontal="center" vertical="center"/>
      <protection locked="0"/>
    </xf>
    <xf numFmtId="0" fontId="0" fillId="4" borderId="47" xfId="0" applyFill="1" applyBorder="1" applyAlignment="1" applyProtection="1">
      <alignment horizontal="center"/>
      <protection locked="0"/>
    </xf>
    <xf numFmtId="0" fontId="0" fillId="4" borderId="48" xfId="0" applyFill="1" applyBorder="1" applyAlignment="1" applyProtection="1">
      <alignment vertical="center"/>
      <protection locked="0"/>
    </xf>
    <xf numFmtId="0" fontId="0" fillId="4" borderId="27" xfId="0" applyFill="1" applyBorder="1" applyAlignment="1" applyProtection="1">
      <alignment horizontal="center"/>
      <protection locked="0"/>
    </xf>
    <xf numFmtId="0" fontId="7" fillId="2" borderId="11" xfId="0" applyFont="1" applyFill="1" applyBorder="1" applyAlignment="1" applyProtection="1">
      <alignment vertical="center" wrapText="1"/>
      <protection hidden="1"/>
    </xf>
    <xf numFmtId="0" fontId="2" fillId="2" borderId="3"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0" fillId="0" borderId="29" xfId="0" applyBorder="1" applyAlignment="1" applyProtection="1">
      <alignment vertical="center" wrapText="1"/>
      <protection hidden="1"/>
    </xf>
    <xf numFmtId="0" fontId="2" fillId="2" borderId="19" xfId="0" applyFont="1" applyFill="1" applyBorder="1" applyAlignment="1" applyProtection="1">
      <alignment horizontal="center" vertical="center" wrapText="1"/>
      <protection hidden="1"/>
    </xf>
    <xf numFmtId="0" fontId="1" fillId="0" borderId="19" xfId="0" applyFont="1" applyBorder="1" applyAlignment="1" applyProtection="1">
      <alignment horizontal="center" vertical="center" wrapText="1"/>
      <protection hidden="1"/>
    </xf>
    <xf numFmtId="0" fontId="0" fillId="0" borderId="20" xfId="0" applyBorder="1" applyAlignment="1" applyProtection="1">
      <alignment horizontal="center" vertical="center"/>
      <protection hidden="1"/>
    </xf>
    <xf numFmtId="2" fontId="0" fillId="0" borderId="33" xfId="0" applyNumberFormat="1" applyBorder="1" applyAlignment="1" applyProtection="1">
      <alignment horizontal="center"/>
      <protection hidden="1"/>
    </xf>
    <xf numFmtId="2" fontId="7" fillId="2" borderId="10" xfId="0" applyNumberFormat="1" applyFont="1" applyFill="1" applyBorder="1" applyAlignment="1" applyProtection="1">
      <alignment horizontal="center" vertical="center"/>
      <protection hidden="1"/>
    </xf>
    <xf numFmtId="0" fontId="0" fillId="0" borderId="49" xfId="0" applyBorder="1" applyAlignment="1" applyProtection="1">
      <alignment vertical="center" wrapText="1"/>
      <protection hidden="1"/>
    </xf>
    <xf numFmtId="0" fontId="0" fillId="0" borderId="50" xfId="0" applyBorder="1" applyAlignment="1" applyProtection="1">
      <alignment vertical="center" wrapText="1"/>
      <protection hidden="1"/>
    </xf>
    <xf numFmtId="0" fontId="1" fillId="0" borderId="12" xfId="0" applyFont="1" applyBorder="1" applyAlignment="1" applyProtection="1">
      <alignment horizontal="center" vertical="center" wrapText="1"/>
      <protection hidden="1"/>
    </xf>
    <xf numFmtId="4" fontId="0" fillId="0" borderId="40" xfId="0" applyNumberFormat="1" applyBorder="1" applyAlignment="1" applyProtection="1">
      <alignment horizontal="center" vertical="center"/>
      <protection hidden="1"/>
    </xf>
    <xf numFmtId="2" fontId="2" fillId="2" borderId="9" xfId="0" applyNumberFormat="1" applyFont="1" applyFill="1" applyBorder="1" applyAlignment="1" applyProtection="1">
      <alignment horizontal="center" vertical="center"/>
      <protection hidden="1"/>
    </xf>
    <xf numFmtId="0" fontId="8" fillId="2" borderId="1" xfId="0" applyFont="1" applyFill="1" applyBorder="1" applyAlignment="1" applyProtection="1">
      <alignment horizontal="center" vertical="center" wrapText="1"/>
      <protection hidden="1"/>
    </xf>
    <xf numFmtId="0" fontId="0" fillId="4" borderId="150" xfId="0" applyFill="1" applyBorder="1" applyAlignment="1" applyProtection="1">
      <alignment horizontal="center"/>
      <protection locked="0"/>
    </xf>
    <xf numFmtId="0" fontId="0" fillId="10" borderId="0" xfId="0" applyFill="1" applyProtection="1">
      <protection locked="0"/>
    </xf>
    <xf numFmtId="0" fontId="0" fillId="0" borderId="0" xfId="0" applyAlignment="1" applyProtection="1">
      <alignment horizontal="center" vertical="center" wrapText="1"/>
      <protection locked="0"/>
    </xf>
    <xf numFmtId="0" fontId="11" fillId="0" borderId="9" xfId="0" applyFont="1" applyBorder="1" applyAlignment="1" applyProtection="1">
      <alignment horizontal="center"/>
      <protection locked="0"/>
    </xf>
    <xf numFmtId="0" fontId="11" fillId="0" borderId="0" xfId="0" applyFont="1" applyAlignment="1" applyProtection="1">
      <alignment horizontal="center"/>
      <protection locked="0"/>
    </xf>
    <xf numFmtId="0" fontId="0" fillId="10" borderId="2" xfId="0" applyFill="1" applyBorder="1" applyAlignment="1" applyProtection="1">
      <alignment horizontal="center"/>
      <protection locked="0"/>
    </xf>
    <xf numFmtId="0" fontId="0" fillId="0" borderId="2" xfId="0"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0" fillId="10" borderId="0" xfId="0" applyFill="1" applyAlignment="1" applyProtection="1">
      <alignment horizontal="center" vertical="center"/>
      <protection locked="0"/>
    </xf>
    <xf numFmtId="0" fontId="0" fillId="10" borderId="0" xfId="0" applyFill="1" applyAlignment="1" applyProtection="1">
      <alignment vertical="center"/>
      <protection locked="0"/>
    </xf>
    <xf numFmtId="0" fontId="0" fillId="0" borderId="12" xfId="0" applyBorder="1" applyAlignment="1" applyProtection="1">
      <alignment horizontal="center" vertical="center"/>
      <protection locked="0"/>
    </xf>
    <xf numFmtId="9" fontId="0" fillId="8" borderId="12" xfId="2" applyFont="1" applyFill="1" applyBorder="1" applyAlignment="1" applyProtection="1">
      <alignment horizontal="center" vertical="center"/>
      <protection locked="0"/>
    </xf>
    <xf numFmtId="2" fontId="0" fillId="0" borderId="4" xfId="0" applyNumberFormat="1" applyBorder="1" applyAlignment="1" applyProtection="1">
      <alignment horizontal="center" vertical="center" wrapText="1"/>
      <protection locked="0"/>
    </xf>
    <xf numFmtId="0" fontId="0" fillId="0" borderId="4" xfId="0" applyBorder="1" applyAlignment="1" applyProtection="1">
      <alignment horizontal="center" vertical="center"/>
      <protection locked="0"/>
    </xf>
    <xf numFmtId="0" fontId="0" fillId="10" borderId="2" xfId="0" applyFill="1" applyBorder="1" applyAlignment="1" applyProtection="1">
      <alignment horizontal="center" vertical="center"/>
      <protection locked="0"/>
    </xf>
    <xf numFmtId="0" fontId="0" fillId="10" borderId="19" xfId="0" applyFill="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0" fillId="10" borderId="9" xfId="0" applyFill="1" applyBorder="1" applyAlignment="1" applyProtection="1">
      <alignment horizontal="center" vertical="center"/>
      <protection locked="0"/>
    </xf>
    <xf numFmtId="0" fontId="18" fillId="10" borderId="0" xfId="0" applyFont="1" applyFill="1" applyAlignment="1" applyProtection="1">
      <alignment vertical="center"/>
      <protection locked="0"/>
    </xf>
    <xf numFmtId="0" fontId="1" fillId="0" borderId="19" xfId="0" applyFont="1" applyBorder="1" applyAlignment="1" applyProtection="1">
      <alignment horizontal="center" vertical="center"/>
      <protection locked="0"/>
    </xf>
    <xf numFmtId="0" fontId="11" fillId="0" borderId="4" xfId="0" applyFont="1" applyBorder="1" applyAlignment="1" applyProtection="1">
      <alignment horizontal="center"/>
      <protection locked="0"/>
    </xf>
    <xf numFmtId="10" fontId="0" fillId="10" borderId="0" xfId="0" applyNumberFormat="1" applyFill="1" applyProtection="1">
      <protection locked="0"/>
    </xf>
    <xf numFmtId="0" fontId="0" fillId="23" borderId="3" xfId="0" applyFill="1" applyBorder="1" applyProtection="1">
      <protection locked="0"/>
    </xf>
    <xf numFmtId="0" fontId="0" fillId="23" borderId="4" xfId="0" applyFill="1" applyBorder="1" applyProtection="1">
      <protection locked="0"/>
    </xf>
    <xf numFmtId="0" fontId="0" fillId="23" borderId="5" xfId="0" applyFill="1"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20" xfId="0" applyBorder="1" applyAlignment="1" applyProtection="1">
      <alignment horizontal="center"/>
      <protection locked="0"/>
    </xf>
    <xf numFmtId="0" fontId="0" fillId="0" borderId="53" xfId="0" applyBorder="1" applyAlignment="1" applyProtection="1">
      <alignment horizontal="center"/>
      <protection locked="0"/>
    </xf>
    <xf numFmtId="0" fontId="0" fillId="0" borderId="121" xfId="0" applyBorder="1" applyAlignment="1" applyProtection="1">
      <alignment horizontal="center"/>
      <protection locked="0"/>
    </xf>
    <xf numFmtId="0" fontId="0" fillId="0" borderId="6" xfId="0" applyBorder="1" applyAlignment="1" applyProtection="1">
      <alignment horizontal="center"/>
      <protection locked="0"/>
    </xf>
    <xf numFmtId="0" fontId="0" fillId="0" borderId="122" xfId="0" applyBorder="1" applyAlignment="1" applyProtection="1">
      <alignment horizontal="center" vertical="center" wrapText="1"/>
      <protection locked="0"/>
    </xf>
    <xf numFmtId="0" fontId="0" fillId="0" borderId="123" xfId="0" applyBorder="1" applyAlignment="1" applyProtection="1">
      <alignment horizontal="center" vertical="center" wrapText="1"/>
      <protection locked="0"/>
    </xf>
    <xf numFmtId="0" fontId="0" fillId="0" borderId="124" xfId="0" applyBorder="1" applyAlignment="1" applyProtection="1">
      <alignment horizontal="center" vertical="center" wrapText="1"/>
      <protection locked="0"/>
    </xf>
    <xf numFmtId="0" fontId="0" fillId="0" borderId="125" xfId="0" applyBorder="1" applyAlignment="1" applyProtection="1">
      <alignment horizontal="center"/>
      <protection locked="0"/>
    </xf>
    <xf numFmtId="0" fontId="0" fillId="0" borderId="126" xfId="0" applyBorder="1" applyAlignment="1" applyProtection="1">
      <alignment horizontal="center"/>
      <protection locked="0"/>
    </xf>
    <xf numFmtId="0" fontId="0" fillId="0" borderId="127" xfId="0" applyBorder="1" applyAlignment="1" applyProtection="1">
      <alignment horizontal="center"/>
      <protection locked="0"/>
    </xf>
    <xf numFmtId="0" fontId="0" fillId="0" borderId="128" xfId="0" applyBorder="1" applyAlignment="1" applyProtection="1">
      <alignment horizontal="center"/>
      <protection locked="0"/>
    </xf>
    <xf numFmtId="0" fontId="0" fillId="0" borderId="129" xfId="0" applyBorder="1" applyAlignment="1" applyProtection="1">
      <alignment horizontal="center"/>
      <protection locked="0"/>
    </xf>
    <xf numFmtId="0" fontId="0" fillId="0" borderId="130" xfId="0" applyBorder="1" applyAlignment="1" applyProtection="1">
      <alignment horizontal="center"/>
      <protection locked="0"/>
    </xf>
    <xf numFmtId="0" fontId="0" fillId="0" borderId="131" xfId="0" applyBorder="1" applyAlignment="1" applyProtection="1">
      <alignment horizontal="center"/>
      <protection locked="0"/>
    </xf>
    <xf numFmtId="0" fontId="0" fillId="0" borderId="9" xfId="0" applyBorder="1" applyProtection="1">
      <protection locked="0"/>
    </xf>
    <xf numFmtId="0" fontId="0" fillId="0" borderId="10" xfId="0" applyBorder="1" applyProtection="1">
      <protection locked="0"/>
    </xf>
    <xf numFmtId="0" fontId="0" fillId="10" borderId="2" xfId="0" applyFill="1" applyBorder="1" applyProtection="1">
      <protection locked="0"/>
    </xf>
    <xf numFmtId="0" fontId="0" fillId="0" borderId="0" xfId="0" applyAlignment="1" applyProtection="1">
      <alignment horizontal="left"/>
      <protection locked="0"/>
    </xf>
    <xf numFmtId="0" fontId="0" fillId="10" borderId="0" xfId="0" applyFill="1" applyAlignment="1" applyProtection="1">
      <alignment horizontal="left"/>
      <protection locked="0"/>
    </xf>
    <xf numFmtId="0" fontId="11" fillId="10" borderId="0" xfId="0" applyFont="1" applyFill="1" applyAlignment="1" applyProtection="1">
      <alignment horizontal="left" vertical="center"/>
      <protection locked="0"/>
    </xf>
    <xf numFmtId="0" fontId="2" fillId="5" borderId="0" xfId="0" quotePrefix="1" applyFont="1" applyFill="1" applyAlignment="1" applyProtection="1">
      <alignment vertical="center"/>
      <protection locked="0"/>
    </xf>
    <xf numFmtId="16" fontId="0" fillId="10" borderId="0" xfId="0" applyNumberFormat="1" applyFill="1" applyProtection="1">
      <protection locked="0"/>
    </xf>
    <xf numFmtId="0" fontId="0" fillId="0" borderId="19" xfId="0" applyBorder="1" applyAlignment="1">
      <alignment horizontal="center"/>
    </xf>
    <xf numFmtId="0" fontId="2" fillId="2" borderId="19" xfId="0" applyFont="1" applyFill="1" applyBorder="1" applyAlignment="1">
      <alignment vertical="center" wrapText="1"/>
    </xf>
    <xf numFmtId="0" fontId="0" fillId="0" borderId="19" xfId="0" applyBorder="1" applyAlignment="1" applyProtection="1">
      <alignment horizontal="center"/>
      <protection hidden="1"/>
    </xf>
    <xf numFmtId="0" fontId="52" fillId="0" borderId="2" xfId="0" applyFont="1" applyBorder="1" applyAlignment="1" applyProtection="1">
      <alignment horizontal="center"/>
      <protection hidden="1"/>
    </xf>
    <xf numFmtId="0" fontId="0" fillId="0" borderId="2" xfId="0" applyBorder="1" applyAlignment="1" applyProtection="1">
      <alignment horizontal="center"/>
      <protection hidden="1"/>
    </xf>
    <xf numFmtId="0" fontId="19" fillId="0" borderId="12" xfId="0" applyFont="1" applyBorder="1" applyAlignment="1" applyProtection="1">
      <alignment horizontal="center" vertical="center"/>
      <protection hidden="1"/>
    </xf>
    <xf numFmtId="0" fontId="0" fillId="10" borderId="1" xfId="0" applyFill="1" applyBorder="1" applyProtection="1">
      <protection hidden="1"/>
    </xf>
    <xf numFmtId="0" fontId="0" fillId="0" borderId="12" xfId="0" applyBorder="1" applyAlignment="1" applyProtection="1">
      <alignment horizontal="center"/>
      <protection hidden="1"/>
    </xf>
    <xf numFmtId="0" fontId="52" fillId="0" borderId="12" xfId="0" applyFont="1" applyBorder="1" applyAlignment="1" applyProtection="1">
      <alignment horizontal="center"/>
      <protection hidden="1"/>
    </xf>
    <xf numFmtId="2" fontId="0" fillId="0" borderId="19" xfId="0" applyNumberForma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2" fillId="2" borderId="19" xfId="0" applyFont="1" applyFill="1" applyBorder="1" applyAlignment="1" applyProtection="1">
      <alignment vertical="center" wrapText="1"/>
      <protection hidden="1"/>
    </xf>
    <xf numFmtId="9" fontId="0" fillId="10" borderId="12" xfId="2" applyFont="1" applyFill="1" applyBorder="1" applyAlignment="1" applyProtection="1">
      <alignment horizontal="center" vertical="center"/>
      <protection hidden="1"/>
    </xf>
    <xf numFmtId="0" fontId="0" fillId="0" borderId="12" xfId="0" applyBorder="1" applyAlignment="1" applyProtection="1">
      <alignment horizontal="center" vertical="center"/>
      <protection hidden="1"/>
    </xf>
    <xf numFmtId="2" fontId="0" fillId="0" borderId="19" xfId="0" applyNumberFormat="1" applyBorder="1" applyAlignment="1" applyProtection="1">
      <alignment horizontal="center" vertical="center" wrapText="1"/>
      <protection hidden="1"/>
    </xf>
    <xf numFmtId="0" fontId="0" fillId="10" borderId="2" xfId="0" applyFill="1" applyBorder="1" applyAlignment="1" applyProtection="1">
      <alignment horizontal="center" vertical="center"/>
      <protection hidden="1"/>
    </xf>
    <xf numFmtId="0" fontId="0" fillId="0" borderId="12"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9" fontId="0" fillId="0" borderId="19" xfId="2" applyFont="1" applyBorder="1" applyAlignment="1" applyProtection="1">
      <alignment horizontal="center" vertical="center"/>
      <protection hidden="1"/>
    </xf>
    <xf numFmtId="9" fontId="0" fillId="0" borderId="12" xfId="2" applyFont="1"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2" fillId="10" borderId="4" xfId="0" applyFont="1" applyFill="1" applyBorder="1"/>
    <xf numFmtId="0" fontId="7" fillId="0" borderId="9" xfId="0" applyFont="1" applyBorder="1" applyAlignment="1">
      <alignment horizontal="left"/>
    </xf>
    <xf numFmtId="0" fontId="7" fillId="0" borderId="0" xfId="0" applyFont="1" applyAlignment="1">
      <alignment horizontal="left"/>
    </xf>
    <xf numFmtId="0" fontId="53" fillId="0" borderId="0" xfId="0" applyFont="1" applyAlignment="1">
      <alignment horizontal="left" vertical="center"/>
    </xf>
    <xf numFmtId="0" fontId="2" fillId="10" borderId="0" xfId="0" applyFont="1" applyFill="1"/>
    <xf numFmtId="0" fontId="2" fillId="2" borderId="19" xfId="0" applyFont="1" applyFill="1" applyBorder="1" applyAlignment="1">
      <alignment vertical="center"/>
    </xf>
    <xf numFmtId="0" fontId="0" fillId="10" borderId="0" xfId="0" applyFill="1"/>
    <xf numFmtId="0" fontId="2" fillId="2" borderId="0" xfId="0" applyFont="1" applyFill="1" applyAlignment="1">
      <alignment vertical="center" wrapText="1"/>
    </xf>
    <xf numFmtId="0" fontId="2" fillId="0" borderId="0" xfId="0" applyFont="1" applyAlignment="1">
      <alignment vertical="center"/>
    </xf>
    <xf numFmtId="0" fontId="2" fillId="10" borderId="19" xfId="0" applyFont="1" applyFill="1" applyBorder="1" applyAlignment="1">
      <alignment vertical="center" wrapText="1"/>
    </xf>
    <xf numFmtId="0" fontId="2" fillId="10" borderId="9" xfId="0" applyFont="1" applyFill="1" applyBorder="1" applyAlignment="1">
      <alignment vertical="center" wrapText="1"/>
    </xf>
    <xf numFmtId="0" fontId="2" fillId="2" borderId="1" xfId="0" applyFont="1" applyFill="1" applyBorder="1" applyAlignment="1">
      <alignment vertical="center" wrapText="1"/>
    </xf>
    <xf numFmtId="0" fontId="7" fillId="0" borderId="4" xfId="0" applyFont="1" applyBorder="1" applyAlignment="1">
      <alignment horizontal="left"/>
    </xf>
    <xf numFmtId="0" fontId="61" fillId="0" borderId="2" xfId="0" applyFont="1" applyBorder="1" applyAlignment="1" applyProtection="1">
      <alignment horizontal="center" vertical="center" wrapText="1"/>
      <protection hidden="1"/>
    </xf>
    <xf numFmtId="0" fontId="1" fillId="3" borderId="12" xfId="0" applyFont="1" applyFill="1" applyBorder="1" applyAlignment="1" applyProtection="1">
      <alignment horizontal="center" vertical="center"/>
      <protection locked="0"/>
    </xf>
    <xf numFmtId="2" fontId="0" fillId="3" borderId="1" xfId="0" applyNumberFormat="1" applyFill="1" applyBorder="1" applyAlignment="1" applyProtection="1">
      <alignment horizontal="center"/>
      <protection locked="0"/>
    </xf>
    <xf numFmtId="0" fontId="0" fillId="3" borderId="144" xfId="0" applyFill="1" applyBorder="1" applyAlignment="1" applyProtection="1">
      <alignment horizontal="left" indent="1"/>
      <protection locked="0"/>
    </xf>
    <xf numFmtId="0" fontId="0" fillId="3" borderId="36" xfId="0" applyFill="1" applyBorder="1" applyAlignment="1" applyProtection="1">
      <alignment horizontal="left" indent="1"/>
      <protection locked="0"/>
    </xf>
    <xf numFmtId="0" fontId="0" fillId="3" borderId="37" xfId="0" applyFill="1" applyBorder="1" applyAlignment="1" applyProtection="1">
      <alignment horizontal="left" indent="1"/>
      <protection locked="0"/>
    </xf>
    <xf numFmtId="0" fontId="0" fillId="3" borderId="145" xfId="0" applyFill="1" applyBorder="1" applyAlignment="1" applyProtection="1">
      <alignment horizontal="center" vertical="center"/>
      <protection locked="0"/>
    </xf>
    <xf numFmtId="0" fontId="0" fillId="3" borderId="147"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133"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134" xfId="0" applyFill="1" applyBorder="1" applyAlignment="1" applyProtection="1">
      <alignment horizontal="center" vertical="center"/>
      <protection locked="0"/>
    </xf>
    <xf numFmtId="0" fontId="0" fillId="3" borderId="151" xfId="0" applyFill="1" applyBorder="1" applyAlignment="1" applyProtection="1">
      <alignment horizontal="center" vertical="center"/>
      <protection locked="0"/>
    </xf>
    <xf numFmtId="0" fontId="0" fillId="0" borderId="20" xfId="0" applyBorder="1" applyAlignment="1">
      <alignment horizontal="center" vertical="center"/>
    </xf>
    <xf numFmtId="0" fontId="0" fillId="0" borderId="27" xfId="0" applyBorder="1" applyAlignment="1">
      <alignment horizontal="center" vertical="center"/>
    </xf>
    <xf numFmtId="0" fontId="9" fillId="0" borderId="11" xfId="1" applyFill="1" applyBorder="1" applyAlignment="1">
      <alignment horizontal="center" vertical="center"/>
    </xf>
    <xf numFmtId="14" fontId="0" fillId="0" borderId="0" xfId="0" applyNumberFormat="1" applyAlignment="1">
      <alignment horizontal="center" vertical="center"/>
    </xf>
    <xf numFmtId="0" fontId="9" fillId="10" borderId="11" xfId="1" applyFill="1" applyBorder="1" applyAlignment="1">
      <alignment horizontal="center" vertical="center"/>
    </xf>
    <xf numFmtId="0" fontId="9" fillId="0" borderId="53" xfId="1" applyBorder="1" applyAlignment="1">
      <alignment horizontal="center" vertical="center"/>
    </xf>
    <xf numFmtId="2" fontId="0" fillId="0" borderId="53" xfId="0" applyNumberFormat="1" applyBorder="1" applyAlignment="1">
      <alignment horizontal="center" vertical="center"/>
    </xf>
    <xf numFmtId="0" fontId="0" fillId="0" borderId="26" xfId="0" applyBorder="1" applyAlignment="1">
      <alignment vertical="center" wrapText="1"/>
    </xf>
    <xf numFmtId="0" fontId="0" fillId="0" borderId="22" xfId="0" applyBorder="1" applyAlignment="1">
      <alignment vertical="center"/>
    </xf>
    <xf numFmtId="0" fontId="0" fillId="0" borderId="23" xfId="0" applyBorder="1" applyAlignment="1">
      <alignment vertical="center"/>
    </xf>
    <xf numFmtId="166" fontId="0" fillId="0" borderId="46" xfId="0" applyNumberFormat="1" applyBorder="1" applyAlignment="1">
      <alignment horizontal="center" vertical="center"/>
    </xf>
    <xf numFmtId="0" fontId="64" fillId="10" borderId="0" xfId="0" applyFont="1" applyFill="1" applyProtection="1">
      <protection locked="0"/>
    </xf>
    <xf numFmtId="0" fontId="2" fillId="2" borderId="0" xfId="0" applyFont="1" applyFill="1" applyAlignment="1">
      <alignment vertical="center"/>
    </xf>
    <xf numFmtId="0" fontId="0" fillId="3" borderId="1" xfId="0" applyFill="1" applyBorder="1" applyAlignment="1" applyProtection="1">
      <alignment horizontal="center" vertical="center"/>
      <protection locked="0"/>
    </xf>
    <xf numFmtId="0" fontId="65" fillId="2" borderId="0" xfId="0" applyFont="1" applyFill="1" applyAlignment="1">
      <alignment vertical="center" wrapText="1"/>
    </xf>
    <xf numFmtId="0" fontId="52" fillId="0" borderId="2" xfId="0" applyFont="1" applyBorder="1" applyAlignment="1" applyProtection="1">
      <alignment horizontal="center" vertical="center"/>
      <protection hidden="1"/>
    </xf>
    <xf numFmtId="0" fontId="0" fillId="10" borderId="0" xfId="0" applyFill="1" applyAlignment="1" applyProtection="1">
      <alignment horizontal="center" vertical="center"/>
      <protection hidden="1"/>
    </xf>
    <xf numFmtId="0" fontId="0" fillId="0" borderId="1" xfId="0" applyBorder="1" applyAlignment="1" applyProtection="1">
      <alignment horizontal="center" vertical="center"/>
      <protection hidden="1"/>
    </xf>
    <xf numFmtId="9" fontId="0" fillId="8" borderId="12" xfId="2" applyFont="1" applyFill="1" applyBorder="1" applyAlignment="1" applyProtection="1">
      <alignment horizontal="center" vertical="center"/>
      <protection hidden="1"/>
    </xf>
    <xf numFmtId="0" fontId="0" fillId="8" borderId="12" xfId="0" applyFill="1" applyBorder="1" applyAlignment="1" applyProtection="1">
      <alignment horizontal="center" vertical="center"/>
      <protection hidden="1"/>
    </xf>
    <xf numFmtId="0" fontId="0" fillId="3" borderId="21" xfId="0" applyFill="1" applyBorder="1" applyAlignment="1" applyProtection="1">
      <alignment horizontal="center" vertical="center"/>
      <protection locked="0"/>
    </xf>
    <xf numFmtId="166" fontId="0" fillId="3" borderId="4" xfId="0" applyNumberFormat="1" applyFill="1" applyBorder="1" applyAlignment="1" applyProtection="1">
      <alignment horizontal="center" vertical="center"/>
      <protection locked="0"/>
    </xf>
    <xf numFmtId="1" fontId="0" fillId="3" borderId="4" xfId="0" applyNumberFormat="1" applyFill="1" applyBorder="1" applyAlignment="1" applyProtection="1">
      <alignment horizontal="center" vertical="center"/>
      <protection locked="0"/>
    </xf>
    <xf numFmtId="2" fontId="0" fillId="3" borderId="4" xfId="0" applyNumberFormat="1" applyFill="1" applyBorder="1" applyAlignment="1" applyProtection="1">
      <alignment horizontal="center" vertical="center"/>
      <protection locked="0"/>
    </xf>
    <xf numFmtId="166" fontId="0" fillId="3" borderId="0" xfId="0" applyNumberFormat="1" applyFill="1" applyAlignment="1" applyProtection="1">
      <alignment horizontal="center" vertical="center"/>
      <protection locked="0"/>
    </xf>
    <xf numFmtId="1" fontId="0" fillId="3" borderId="0" xfId="0" applyNumberFormat="1" applyFill="1" applyAlignment="1" applyProtection="1">
      <alignment horizontal="center" vertical="center"/>
      <protection locked="0"/>
    </xf>
    <xf numFmtId="2" fontId="0" fillId="3" borderId="0" xfId="0" applyNumberFormat="1" applyFill="1" applyAlignment="1" applyProtection="1">
      <alignment horizontal="center" vertical="center"/>
      <protection locked="0"/>
    </xf>
    <xf numFmtId="166" fontId="0" fillId="3" borderId="9" xfId="0" applyNumberFormat="1" applyFill="1" applyBorder="1" applyAlignment="1" applyProtection="1">
      <alignment horizontal="center" vertical="center"/>
      <protection locked="0"/>
    </xf>
    <xf numFmtId="1" fontId="0" fillId="3" borderId="9" xfId="0" applyNumberFormat="1" applyFill="1" applyBorder="1" applyAlignment="1" applyProtection="1">
      <alignment horizontal="center" vertical="center"/>
      <protection locked="0"/>
    </xf>
    <xf numFmtId="2" fontId="0" fillId="3" borderId="9" xfId="0" applyNumberFormat="1" applyFill="1" applyBorder="1" applyAlignment="1" applyProtection="1">
      <alignment horizontal="center" vertical="center"/>
      <protection locked="0"/>
    </xf>
    <xf numFmtId="0" fontId="0" fillId="3" borderId="12" xfId="0" applyFill="1" applyBorder="1" applyAlignment="1" applyProtection="1">
      <alignment horizontal="center"/>
      <protection locked="0"/>
    </xf>
    <xf numFmtId="0" fontId="14" fillId="0" borderId="0" xfId="4" applyProtection="1">
      <protection hidden="1"/>
    </xf>
    <xf numFmtId="165" fontId="14" fillId="0" borderId="0" xfId="4" applyNumberFormat="1" applyAlignment="1" applyProtection="1">
      <alignment horizontal="center" vertical="center"/>
      <protection hidden="1"/>
    </xf>
    <xf numFmtId="165" fontId="14" fillId="0" borderId="0" xfId="4" applyNumberFormat="1" applyProtection="1">
      <protection hidden="1"/>
    </xf>
    <xf numFmtId="0" fontId="14" fillId="0" borderId="0" xfId="0" applyFont="1" applyProtection="1">
      <protection hidden="1"/>
    </xf>
    <xf numFmtId="0" fontId="11" fillId="11" borderId="13" xfId="4" applyFont="1" applyFill="1" applyBorder="1" applyAlignment="1" applyProtection="1">
      <alignment horizontal="left" vertical="center" indent="1"/>
      <protection hidden="1"/>
    </xf>
    <xf numFmtId="0" fontId="11" fillId="11" borderId="15" xfId="4" applyFont="1" applyFill="1" applyBorder="1" applyAlignment="1" applyProtection="1">
      <alignment horizontal="left" vertical="center" indent="1"/>
      <protection hidden="1"/>
    </xf>
    <xf numFmtId="0" fontId="11" fillId="11" borderId="17" xfId="4" applyFont="1" applyFill="1" applyBorder="1" applyAlignment="1" applyProtection="1">
      <alignment horizontal="left" vertical="center" indent="1"/>
      <protection hidden="1"/>
    </xf>
    <xf numFmtId="0" fontId="1" fillId="0" borderId="0" xfId="4" applyFont="1" applyProtection="1">
      <protection hidden="1"/>
    </xf>
    <xf numFmtId="0" fontId="11" fillId="11" borderId="34" xfId="4" applyFont="1" applyFill="1" applyBorder="1" applyAlignment="1" applyProtection="1">
      <alignment horizontal="left" vertical="center" indent="1"/>
      <protection hidden="1"/>
    </xf>
    <xf numFmtId="0" fontId="11" fillId="11" borderId="46" xfId="4" applyFont="1" applyFill="1" applyBorder="1" applyAlignment="1" applyProtection="1">
      <alignment horizontal="left" vertical="center" indent="1"/>
      <protection hidden="1"/>
    </xf>
    <xf numFmtId="2" fontId="14" fillId="0" borderId="0" xfId="4" applyNumberFormat="1" applyAlignment="1" applyProtection="1">
      <alignment horizontal="center" vertical="center"/>
      <protection hidden="1"/>
    </xf>
    <xf numFmtId="0" fontId="29" fillId="0" borderId="0" xfId="0" applyFont="1" applyProtection="1">
      <protection hidden="1"/>
    </xf>
    <xf numFmtId="0" fontId="8" fillId="2" borderId="30" xfId="0" applyFont="1" applyFill="1" applyBorder="1" applyAlignment="1" applyProtection="1">
      <alignment vertical="center" wrapText="1"/>
      <protection hidden="1"/>
    </xf>
    <xf numFmtId="0" fontId="8" fillId="2" borderId="31" xfId="0" applyFont="1" applyFill="1" applyBorder="1" applyAlignment="1" applyProtection="1">
      <alignment vertical="center" wrapText="1"/>
      <protection hidden="1"/>
    </xf>
    <xf numFmtId="0" fontId="9" fillId="0" borderId="0" xfId="1" applyProtection="1">
      <protection hidden="1"/>
    </xf>
    <xf numFmtId="0" fontId="14" fillId="0" borderId="0" xfId="0" applyFont="1" applyAlignment="1" applyProtection="1">
      <alignment wrapText="1"/>
      <protection hidden="1"/>
    </xf>
    <xf numFmtId="0" fontId="11" fillId="0" borderId="15" xfId="4" applyFont="1" applyBorder="1" applyAlignment="1" applyProtection="1">
      <alignment horizontal="left" vertical="center" indent="1"/>
      <protection hidden="1"/>
    </xf>
    <xf numFmtId="165" fontId="14" fillId="0" borderId="54" xfId="4" applyNumberFormat="1" applyBorder="1" applyAlignment="1" applyProtection="1">
      <alignment horizontal="center" vertical="center"/>
      <protection hidden="1"/>
    </xf>
    <xf numFmtId="0" fontId="7" fillId="11" borderId="15" xfId="4" applyFont="1" applyFill="1" applyBorder="1" applyAlignment="1" applyProtection="1">
      <alignment horizontal="left" vertical="center" indent="1"/>
      <protection hidden="1"/>
    </xf>
    <xf numFmtId="0" fontId="7" fillId="11" borderId="113" xfId="4" applyFont="1" applyFill="1" applyBorder="1" applyAlignment="1" applyProtection="1">
      <alignment horizontal="left" vertical="center" indent="1"/>
      <protection hidden="1"/>
    </xf>
    <xf numFmtId="0" fontId="14" fillId="0" borderId="0" xfId="4" applyAlignment="1" applyProtection="1">
      <alignment horizontal="left" vertical="center" indent="1"/>
      <protection hidden="1"/>
    </xf>
    <xf numFmtId="2" fontId="14" fillId="0" borderId="0" xfId="4" applyNumberFormat="1" applyProtection="1">
      <protection hidden="1"/>
    </xf>
    <xf numFmtId="0" fontId="11" fillId="2" borderId="0" xfId="0" applyFont="1" applyFill="1" applyProtection="1">
      <protection hidden="1"/>
    </xf>
    <xf numFmtId="0" fontId="7" fillId="2" borderId="0" xfId="0" applyFont="1" applyFill="1" applyProtection="1">
      <protection hidden="1"/>
    </xf>
    <xf numFmtId="0" fontId="11" fillId="0" borderId="0" xfId="4" applyFont="1" applyProtection="1">
      <protection hidden="1"/>
    </xf>
    <xf numFmtId="165" fontId="11" fillId="0" borderId="0" xfId="4" applyNumberFormat="1" applyFont="1" applyAlignment="1" applyProtection="1">
      <alignment horizontal="center" vertical="center"/>
      <protection hidden="1"/>
    </xf>
    <xf numFmtId="165" fontId="11" fillId="0" borderId="0" xfId="4" applyNumberFormat="1" applyFont="1" applyProtection="1">
      <protection hidden="1"/>
    </xf>
    <xf numFmtId="0" fontId="11" fillId="0" borderId="0" xfId="0" applyFont="1" applyAlignment="1" applyProtection="1">
      <alignment vertical="center"/>
      <protection hidden="1"/>
    </xf>
    <xf numFmtId="0" fontId="7" fillId="0" borderId="0" xfId="0" applyFont="1" applyAlignment="1" applyProtection="1">
      <alignment vertical="center"/>
      <protection hidden="1"/>
    </xf>
    <xf numFmtId="165" fontId="11" fillId="0" borderId="0" xfId="0" applyNumberFormat="1" applyFont="1" applyAlignment="1" applyProtection="1">
      <alignment horizontal="center" vertical="center"/>
      <protection hidden="1"/>
    </xf>
    <xf numFmtId="165" fontId="11" fillId="0" borderId="0" xfId="0" applyNumberFormat="1" applyFont="1" applyAlignment="1" applyProtection="1">
      <alignment vertical="center"/>
      <protection hidden="1"/>
    </xf>
    <xf numFmtId="0" fontId="11" fillId="0" borderId="63" xfId="0" applyFont="1" applyBorder="1" applyAlignment="1" applyProtection="1">
      <alignment vertical="center"/>
      <protection hidden="1"/>
    </xf>
    <xf numFmtId="0" fontId="11" fillId="0" borderId="64" xfId="0" applyFont="1" applyBorder="1" applyAlignment="1" applyProtection="1">
      <alignment vertical="center"/>
      <protection hidden="1"/>
    </xf>
    <xf numFmtId="165" fontId="11" fillId="0" borderId="64" xfId="0" applyNumberFormat="1" applyFont="1" applyBorder="1" applyAlignment="1" applyProtection="1">
      <alignment horizontal="center" vertical="center"/>
      <protection hidden="1"/>
    </xf>
    <xf numFmtId="165" fontId="11" fillId="0" borderId="64" xfId="0" applyNumberFormat="1" applyFont="1" applyBorder="1" applyAlignment="1" applyProtection="1">
      <alignment vertical="center"/>
      <protection hidden="1"/>
    </xf>
    <xf numFmtId="0" fontId="11" fillId="0" borderId="0" xfId="0" applyFont="1" applyAlignment="1" applyProtection="1">
      <alignment horizontal="left" vertical="center"/>
      <protection hidden="1"/>
    </xf>
    <xf numFmtId="0" fontId="11" fillId="0" borderId="0" xfId="0" applyFont="1" applyAlignment="1" applyProtection="1">
      <alignment horizontal="justify" vertical="center" wrapText="1"/>
      <protection hidden="1"/>
    </xf>
    <xf numFmtId="165" fontId="11" fillId="0" borderId="0" xfId="0" applyNumberFormat="1" applyFont="1" applyAlignment="1" applyProtection="1">
      <alignment horizontal="center" vertical="center" wrapText="1"/>
      <protection hidden="1"/>
    </xf>
    <xf numFmtId="165" fontId="11" fillId="0" borderId="0" xfId="0" applyNumberFormat="1" applyFont="1" applyAlignment="1" applyProtection="1">
      <alignment horizontal="justify" vertical="center" wrapText="1"/>
      <protection hidden="1"/>
    </xf>
    <xf numFmtId="165" fontId="11" fillId="0" borderId="0" xfId="0" applyNumberFormat="1" applyFont="1" applyAlignment="1" applyProtection="1">
      <alignment horizontal="left" vertical="center"/>
      <protection hidden="1"/>
    </xf>
    <xf numFmtId="0" fontId="11" fillId="0" borderId="0" xfId="0" applyFont="1" applyAlignment="1" applyProtection="1">
      <alignment horizontal="right" vertical="top" wrapText="1"/>
      <protection hidden="1"/>
    </xf>
    <xf numFmtId="0" fontId="11" fillId="0" borderId="0" xfId="0" applyFont="1" applyAlignment="1" applyProtection="1">
      <alignment vertical="top" wrapText="1"/>
      <protection hidden="1"/>
    </xf>
    <xf numFmtId="0" fontId="11" fillId="0" borderId="0" xfId="0" applyFont="1" applyProtection="1">
      <protection hidden="1"/>
    </xf>
    <xf numFmtId="0" fontId="0" fillId="3" borderId="14" xfId="0" applyFill="1" applyBorder="1" applyAlignment="1" applyProtection="1">
      <alignment horizontal="center" vertical="center"/>
      <protection locked="0"/>
    </xf>
    <xf numFmtId="0" fontId="0" fillId="10" borderId="53" xfId="0" applyFill="1" applyBorder="1" applyProtection="1">
      <protection locked="0"/>
    </xf>
    <xf numFmtId="9" fontId="0" fillId="0" borderId="12" xfId="2" applyFont="1" applyFill="1" applyBorder="1" applyAlignment="1" applyProtection="1">
      <alignment horizontal="center" vertical="center"/>
      <protection locked="0"/>
    </xf>
    <xf numFmtId="0" fontId="0" fillId="8" borderId="12" xfId="2" applyNumberFormat="1" applyFont="1" applyFill="1" applyBorder="1" applyAlignment="1" applyProtection="1">
      <alignment horizontal="center" vertical="center"/>
      <protection locked="0"/>
    </xf>
    <xf numFmtId="2" fontId="0" fillId="2" borderId="7" xfId="0" applyNumberFormat="1" applyFill="1" applyBorder="1" applyAlignment="1">
      <alignment horizontal="center" vertical="center"/>
    </xf>
    <xf numFmtId="2" fontId="0" fillId="2" borderId="10" xfId="0" applyNumberFormat="1" applyFill="1" applyBorder="1" applyAlignment="1">
      <alignment horizontal="center" vertical="center"/>
    </xf>
    <xf numFmtId="0" fontId="18" fillId="0" borderId="4" xfId="0" applyFont="1" applyBorder="1" applyAlignment="1" applyProtection="1">
      <alignment vertical="center"/>
      <protection locked="0"/>
    </xf>
    <xf numFmtId="0" fontId="2" fillId="5" borderId="0" xfId="0" quotePrefix="1" applyFont="1" applyFill="1" applyAlignment="1" applyProtection="1">
      <alignment vertical="center" wrapText="1"/>
      <protection hidden="1"/>
    </xf>
    <xf numFmtId="0" fontId="0" fillId="2" borderId="55" xfId="0" applyFill="1" applyBorder="1" applyAlignment="1" applyProtection="1">
      <alignment horizontal="center" vertical="center"/>
      <protection hidden="1"/>
    </xf>
    <xf numFmtId="0" fontId="0" fillId="2" borderId="48" xfId="0" applyFill="1" applyBorder="1" applyAlignment="1" applyProtection="1">
      <alignment horizontal="center" vertical="center"/>
      <protection hidden="1"/>
    </xf>
    <xf numFmtId="0" fontId="0" fillId="2" borderId="48" xfId="0" applyFill="1" applyBorder="1" applyAlignment="1" applyProtection="1">
      <alignment horizontal="center"/>
      <protection hidden="1"/>
    </xf>
    <xf numFmtId="0" fontId="0" fillId="2" borderId="52" xfId="0" applyFill="1" applyBorder="1" applyAlignment="1" applyProtection="1">
      <alignment horizontal="center"/>
      <protection hidden="1"/>
    </xf>
    <xf numFmtId="0" fontId="0" fillId="2" borderId="55" xfId="0" applyFill="1" applyBorder="1" applyAlignment="1" applyProtection="1">
      <alignment horizontal="left" vertical="center"/>
      <protection hidden="1"/>
    </xf>
    <xf numFmtId="0" fontId="11" fillId="2" borderId="132" xfId="0" applyFont="1" applyFill="1" applyBorder="1" applyAlignment="1" applyProtection="1">
      <alignment horizontal="center" vertical="center"/>
      <protection hidden="1"/>
    </xf>
    <xf numFmtId="0" fontId="11" fillId="2" borderId="0" xfId="0" applyFont="1" applyFill="1" applyAlignment="1" applyProtection="1">
      <alignment horizontal="center"/>
      <protection hidden="1"/>
    </xf>
    <xf numFmtId="0" fontId="11" fillId="2" borderId="11" xfId="0" applyFont="1" applyFill="1" applyBorder="1" applyAlignment="1" applyProtection="1">
      <alignment horizontal="center" vertical="center"/>
      <protection hidden="1"/>
    </xf>
    <xf numFmtId="0" fontId="0" fillId="8" borderId="12" xfId="2" applyNumberFormat="1" applyFont="1" applyFill="1" applyBorder="1" applyAlignment="1" applyProtection="1">
      <alignment horizontal="right" vertical="center"/>
      <protection locked="0"/>
    </xf>
    <xf numFmtId="0" fontId="52" fillId="10" borderId="0" xfId="0" applyFont="1" applyFill="1" applyProtection="1">
      <protection locked="0"/>
    </xf>
    <xf numFmtId="0" fontId="66" fillId="10" borderId="0" xfId="0" applyFont="1" applyFill="1" applyProtection="1">
      <protection locked="0"/>
    </xf>
    <xf numFmtId="0" fontId="0" fillId="3" borderId="1" xfId="0" applyFill="1" applyBorder="1" applyAlignment="1" applyProtection="1">
      <alignment horizontal="left" vertical="center"/>
      <protection locked="0"/>
    </xf>
    <xf numFmtId="0" fontId="2" fillId="2" borderId="1" xfId="0" applyFont="1" applyFill="1" applyBorder="1" applyAlignment="1">
      <alignment vertical="center"/>
    </xf>
    <xf numFmtId="0" fontId="0" fillId="10" borderId="0" xfId="2" applyNumberFormat="1" applyFont="1" applyFill="1" applyBorder="1" applyAlignment="1" applyProtection="1">
      <alignment horizontal="right" vertical="center"/>
      <protection locked="0"/>
    </xf>
    <xf numFmtId="0" fontId="52" fillId="10" borderId="0" xfId="2" applyNumberFormat="1" applyFont="1" applyFill="1" applyBorder="1" applyAlignment="1" applyProtection="1">
      <alignment horizontal="left" vertical="center"/>
      <protection locked="0"/>
    </xf>
    <xf numFmtId="9" fontId="0" fillId="8" borderId="21" xfId="2" applyFont="1" applyFill="1" applyBorder="1" applyAlignment="1" applyProtection="1">
      <alignment horizontal="center" vertical="center"/>
      <protection locked="0"/>
    </xf>
    <xf numFmtId="0" fontId="0" fillId="0" borderId="21" xfId="0" applyBorder="1" applyAlignment="1" applyProtection="1">
      <alignment horizontal="center" vertical="center"/>
      <protection hidden="1"/>
    </xf>
    <xf numFmtId="0" fontId="52" fillId="0" borderId="9" xfId="0" applyFont="1" applyBorder="1" applyAlignment="1" applyProtection="1">
      <alignment horizontal="center" vertical="center"/>
      <protection hidden="1"/>
    </xf>
    <xf numFmtId="0" fontId="65" fillId="10" borderId="0" xfId="0" applyFont="1" applyFill="1" applyAlignment="1">
      <alignment vertical="center" wrapText="1"/>
    </xf>
    <xf numFmtId="2" fontId="0" fillId="10" borderId="19" xfId="0" applyNumberFormat="1" applyFill="1" applyBorder="1" applyAlignment="1" applyProtection="1">
      <alignment horizontal="left" vertical="center"/>
      <protection hidden="1"/>
    </xf>
    <xf numFmtId="1" fontId="0" fillId="0" borderId="2" xfId="0" applyNumberFormat="1" applyBorder="1" applyAlignment="1" applyProtection="1">
      <alignment horizontal="center" vertical="center"/>
      <protection hidden="1"/>
    </xf>
    <xf numFmtId="0" fontId="2" fillId="5" borderId="0" xfId="0" applyFont="1" applyFill="1" applyAlignment="1">
      <alignment horizontal="left" vertical="center" wrapText="1"/>
    </xf>
    <xf numFmtId="0" fontId="2" fillId="5" borderId="0" xfId="0" quotePrefix="1" applyFont="1" applyFill="1" applyAlignment="1">
      <alignment vertical="center"/>
    </xf>
    <xf numFmtId="2" fontId="67" fillId="0" borderId="2" xfId="0" applyNumberFormat="1" applyFont="1" applyBorder="1" applyAlignment="1" applyProtection="1">
      <alignment horizontal="left" vertical="center"/>
      <protection locked="0"/>
    </xf>
    <xf numFmtId="2" fontId="52" fillId="0" borderId="2" xfId="0" applyNumberFormat="1" applyFont="1" applyBorder="1" applyAlignment="1" applyProtection="1">
      <alignment horizontal="center" vertical="center"/>
      <protection hidden="1"/>
    </xf>
    <xf numFmtId="2" fontId="0" fillId="0" borderId="2" xfId="0" applyNumberFormat="1" applyBorder="1" applyAlignment="1" applyProtection="1">
      <alignment horizontal="center" vertical="center" wrapText="1"/>
      <protection hidden="1"/>
    </xf>
    <xf numFmtId="0" fontId="0" fillId="8" borderId="52" xfId="0" applyFill="1" applyBorder="1" applyAlignment="1">
      <alignment horizontal="center"/>
    </xf>
    <xf numFmtId="0" fontId="13" fillId="0" borderId="0" xfId="0" applyFont="1" applyAlignment="1">
      <alignment horizontal="center"/>
    </xf>
    <xf numFmtId="0" fontId="0" fillId="2" borderId="47" xfId="0" applyFill="1" applyBorder="1" applyAlignment="1">
      <alignment vertical="center"/>
    </xf>
    <xf numFmtId="0" fontId="0" fillId="2" borderId="48" xfId="0" applyFill="1" applyBorder="1" applyAlignment="1">
      <alignment horizontal="center" vertical="center"/>
    </xf>
    <xf numFmtId="0" fontId="16" fillId="0" borderId="11" xfId="0" applyFont="1" applyBorder="1" applyAlignment="1">
      <alignment vertical="center"/>
    </xf>
    <xf numFmtId="9" fontId="16" fillId="0" borderId="11" xfId="2" applyFont="1" applyBorder="1" applyAlignment="1" applyProtection="1">
      <alignment vertical="center"/>
    </xf>
    <xf numFmtId="9" fontId="16" fillId="0" borderId="0" xfId="2" applyFont="1" applyBorder="1" applyProtection="1"/>
    <xf numFmtId="0" fontId="15" fillId="0" borderId="11" xfId="0" applyFont="1" applyBorder="1" applyAlignment="1">
      <alignment vertical="center"/>
    </xf>
    <xf numFmtId="9" fontId="15" fillId="0" borderId="11" xfId="2" applyFont="1" applyBorder="1" applyAlignment="1" applyProtection="1">
      <alignment vertical="center"/>
    </xf>
    <xf numFmtId="9" fontId="15" fillId="0" borderId="0" xfId="2" applyFont="1" applyBorder="1" applyProtection="1"/>
    <xf numFmtId="0" fontId="0" fillId="0" borderId="11" xfId="0" applyBorder="1" applyAlignment="1">
      <alignment vertical="center"/>
    </xf>
    <xf numFmtId="9" fontId="0" fillId="0" borderId="11" xfId="2" applyFont="1" applyBorder="1" applyAlignment="1" applyProtection="1">
      <alignment vertical="center"/>
    </xf>
    <xf numFmtId="9" fontId="0" fillId="0" borderId="0" xfId="2" applyFont="1" applyBorder="1" applyProtection="1"/>
    <xf numFmtId="0" fontId="0" fillId="0" borderId="27" xfId="0" applyBorder="1" applyAlignment="1">
      <alignment vertical="center"/>
    </xf>
    <xf numFmtId="165" fontId="0" fillId="0" borderId="11" xfId="0" applyNumberFormat="1" applyBorder="1" applyAlignment="1">
      <alignment vertical="center"/>
    </xf>
    <xf numFmtId="0" fontId="0" fillId="0" borderId="6" xfId="0" applyBorder="1" applyAlignment="1" applyProtection="1">
      <alignment vertical="center"/>
      <protection hidden="1"/>
    </xf>
    <xf numFmtId="0" fontId="2" fillId="2" borderId="9" xfId="0" applyFont="1" applyFill="1" applyBorder="1" applyAlignment="1" applyProtection="1">
      <alignment horizontal="right" vertical="center"/>
      <protection hidden="1"/>
    </xf>
    <xf numFmtId="14" fontId="56" fillId="10" borderId="0" xfId="0" applyNumberFormat="1" applyFont="1" applyFill="1" applyAlignment="1" applyProtection="1">
      <alignment horizontal="center" vertical="center"/>
      <protection hidden="1"/>
    </xf>
    <xf numFmtId="9" fontId="0" fillId="3" borderId="145" xfId="2" applyFont="1" applyFill="1" applyBorder="1" applyAlignment="1" applyProtection="1">
      <alignment horizontal="center" vertical="center"/>
      <protection locked="0"/>
    </xf>
    <xf numFmtId="9" fontId="0" fillId="3" borderId="145" xfId="2" applyFont="1" applyFill="1" applyBorder="1" applyAlignment="1" applyProtection="1">
      <alignment horizontal="center"/>
      <protection locked="0"/>
    </xf>
    <xf numFmtId="9" fontId="0" fillId="3" borderId="35" xfId="2" applyFont="1" applyFill="1" applyBorder="1" applyAlignment="1" applyProtection="1">
      <alignment horizontal="center" vertical="center"/>
      <protection locked="0"/>
    </xf>
    <xf numFmtId="9" fontId="0" fillId="3" borderId="35" xfId="2" applyFont="1" applyFill="1" applyBorder="1" applyAlignment="1" applyProtection="1">
      <alignment horizontal="center"/>
      <protection locked="0"/>
    </xf>
    <xf numFmtId="9" fontId="0" fillId="3" borderId="38" xfId="2" applyFont="1" applyFill="1" applyBorder="1" applyAlignment="1" applyProtection="1">
      <alignment horizontal="center" vertical="center"/>
      <protection locked="0"/>
    </xf>
    <xf numFmtId="9" fontId="0" fillId="3" borderId="38" xfId="2" applyFont="1" applyFill="1" applyBorder="1" applyAlignment="1" applyProtection="1">
      <alignment horizontal="center"/>
      <protection locked="0"/>
    </xf>
    <xf numFmtId="0" fontId="0" fillId="3" borderId="145" xfId="0" applyFill="1" applyBorder="1" applyAlignment="1" applyProtection="1">
      <alignment horizontal="left" wrapText="1"/>
      <protection locked="0"/>
    </xf>
    <xf numFmtId="0" fontId="0" fillId="3" borderId="35" xfId="0" applyFill="1" applyBorder="1" applyAlignment="1" applyProtection="1">
      <alignment horizontal="left" wrapText="1"/>
      <protection locked="0"/>
    </xf>
    <xf numFmtId="171" fontId="1" fillId="11" borderId="10" xfId="0" applyNumberFormat="1" applyFont="1" applyFill="1" applyBorder="1" applyAlignment="1">
      <alignment horizontal="center" vertical="center" wrapText="1"/>
    </xf>
    <xf numFmtId="0" fontId="1" fillId="11" borderId="8" xfId="0" applyFont="1" applyFill="1" applyBorder="1" applyAlignment="1">
      <alignment horizontal="left" vertical="center" wrapText="1" indent="1"/>
    </xf>
    <xf numFmtId="0" fontId="0" fillId="11" borderId="9" xfId="0" applyFill="1" applyBorder="1" applyAlignment="1">
      <alignment horizontal="left" vertical="center" wrapText="1" indent="1"/>
    </xf>
    <xf numFmtId="0" fontId="1" fillId="11" borderId="9" xfId="0" applyFont="1" applyFill="1" applyBorder="1" applyAlignment="1">
      <alignment horizontal="center" vertical="center" wrapText="1"/>
    </xf>
    <xf numFmtId="169" fontId="1" fillId="11" borderId="9" xfId="0" applyNumberFormat="1" applyFont="1" applyFill="1" applyBorder="1" applyAlignment="1">
      <alignment horizontal="center" vertical="center" wrapText="1"/>
    </xf>
    <xf numFmtId="0" fontId="1" fillId="0" borderId="0" xfId="0" applyFont="1" applyAlignment="1">
      <alignment horizontal="center"/>
    </xf>
    <xf numFmtId="0" fontId="1" fillId="0" borderId="149" xfId="0" applyFont="1" applyBorder="1" applyAlignment="1">
      <alignment horizontal="center" vertical="center" wrapText="1"/>
    </xf>
    <xf numFmtId="172" fontId="0" fillId="0" borderId="149" xfId="3" applyNumberFormat="1" applyFont="1" applyBorder="1" applyAlignment="1">
      <alignment horizontal="right"/>
    </xf>
    <xf numFmtId="172" fontId="0" fillId="0" borderId="149" xfId="3" applyNumberFormat="1" applyFont="1" applyBorder="1"/>
    <xf numFmtId="172" fontId="0" fillId="0" borderId="149" xfId="3" applyNumberFormat="1" applyFont="1" applyBorder="1" applyAlignment="1">
      <alignment horizontal="center"/>
    </xf>
    <xf numFmtId="170" fontId="0" fillId="3" borderId="155" xfId="0" applyNumberFormat="1" applyFill="1" applyBorder="1" applyAlignment="1" applyProtection="1">
      <alignment horizontal="center" vertical="center"/>
      <protection locked="0"/>
    </xf>
    <xf numFmtId="170" fontId="0" fillId="3" borderId="133" xfId="0" applyNumberFormat="1" applyFill="1" applyBorder="1" applyAlignment="1" applyProtection="1">
      <alignment horizontal="center" vertical="center"/>
      <protection locked="0"/>
    </xf>
    <xf numFmtId="170" fontId="0" fillId="3" borderId="134" xfId="0" applyNumberFormat="1" applyFill="1" applyBorder="1" applyAlignment="1" applyProtection="1">
      <alignment horizontal="center" vertical="center"/>
      <protection locked="0"/>
    </xf>
    <xf numFmtId="172" fontId="1" fillId="27" borderId="149" xfId="3" applyNumberFormat="1" applyFont="1" applyFill="1" applyBorder="1" applyAlignment="1">
      <alignment vertical="center"/>
    </xf>
    <xf numFmtId="172" fontId="1" fillId="0" borderId="149" xfId="3" applyNumberFormat="1" applyFont="1" applyBorder="1" applyAlignment="1">
      <alignment horizontal="center" vertical="center"/>
    </xf>
    <xf numFmtId="171" fontId="1" fillId="11" borderId="0" xfId="0" applyNumberFormat="1" applyFont="1" applyFill="1" applyAlignment="1">
      <alignment horizontal="center" vertical="center" wrapText="1"/>
    </xf>
    <xf numFmtId="0" fontId="66" fillId="0" borderId="0" xfId="0" applyFont="1"/>
    <xf numFmtId="172" fontId="0" fillId="0" borderId="154" xfId="3" applyNumberFormat="1" applyFont="1" applyBorder="1"/>
    <xf numFmtId="0" fontId="1" fillId="0" borderId="0" xfId="0" applyFont="1" applyAlignment="1">
      <alignment horizontal="right" vertical="center" wrapText="1"/>
    </xf>
    <xf numFmtId="0" fontId="1" fillId="0" borderId="0" xfId="0" applyFont="1" applyAlignment="1">
      <alignment horizontal="center" wrapText="1"/>
    </xf>
    <xf numFmtId="172" fontId="0" fillId="0" borderId="0" xfId="3" applyNumberFormat="1" applyFont="1" applyFill="1" applyBorder="1" applyAlignment="1">
      <alignment horizontal="right"/>
    </xf>
    <xf numFmtId="172" fontId="0" fillId="0" borderId="0" xfId="3" applyNumberFormat="1" applyFont="1" applyFill="1" applyBorder="1"/>
    <xf numFmtId="172" fontId="0" fillId="0" borderId="0" xfId="3" applyNumberFormat="1" applyFont="1" applyFill="1" applyBorder="1" applyAlignment="1">
      <alignment horizontal="center"/>
    </xf>
    <xf numFmtId="169" fontId="0" fillId="0" borderId="0" xfId="0" applyNumberFormat="1"/>
    <xf numFmtId="172" fontId="1" fillId="0" borderId="0" xfId="3" applyNumberFormat="1" applyFont="1" applyFill="1" applyBorder="1" applyAlignment="1">
      <alignment vertical="center"/>
    </xf>
    <xf numFmtId="172" fontId="1" fillId="0" borderId="0" xfId="3" applyNumberFormat="1" applyFont="1" applyFill="1" applyBorder="1" applyAlignment="1">
      <alignment horizontal="center" vertical="center"/>
    </xf>
    <xf numFmtId="169" fontId="0" fillId="3" borderId="145" xfId="2" applyNumberFormat="1" applyFont="1" applyFill="1" applyBorder="1" applyAlignment="1" applyProtection="1">
      <alignment horizontal="center" vertical="center"/>
      <protection locked="0"/>
    </xf>
    <xf numFmtId="169" fontId="0" fillId="3" borderId="35" xfId="2" applyNumberFormat="1" applyFont="1" applyFill="1" applyBorder="1" applyAlignment="1" applyProtection="1">
      <alignment horizontal="center" vertical="center"/>
      <protection locked="0"/>
    </xf>
    <xf numFmtId="169" fontId="0" fillId="3" borderId="38" xfId="2" applyNumberFormat="1" applyFont="1" applyFill="1" applyBorder="1" applyAlignment="1" applyProtection="1">
      <alignment horizontal="center" vertical="center"/>
      <protection locked="0"/>
    </xf>
    <xf numFmtId="170" fontId="0" fillId="3" borderId="147" xfId="0" applyNumberFormat="1" applyFill="1" applyBorder="1" applyAlignment="1" applyProtection="1">
      <alignment horizontal="center" vertical="center"/>
      <protection locked="0"/>
    </xf>
    <xf numFmtId="2" fontId="0" fillId="0" borderId="0" xfId="0" applyNumberFormat="1" applyAlignment="1" applyProtection="1">
      <alignment horizontal="center"/>
      <protection locked="0"/>
    </xf>
    <xf numFmtId="0" fontId="8" fillId="2" borderId="0" xfId="0" applyFont="1" applyFill="1"/>
    <xf numFmtId="0" fontId="8" fillId="2" borderId="1" xfId="0" applyFont="1" applyFill="1" applyBorder="1"/>
    <xf numFmtId="0" fontId="0" fillId="2" borderId="19" xfId="0" applyFill="1" applyBorder="1"/>
    <xf numFmtId="0" fontId="0" fillId="2" borderId="2" xfId="0" applyFill="1" applyBorder="1"/>
    <xf numFmtId="0" fontId="0" fillId="2" borderId="0" xfId="0" applyFill="1" applyProtection="1">
      <protection hidden="1"/>
    </xf>
    <xf numFmtId="0" fontId="69" fillId="2" borderId="0" xfId="0" applyFont="1" applyFill="1" applyProtection="1">
      <protection hidden="1"/>
    </xf>
    <xf numFmtId="0" fontId="57" fillId="2" borderId="0" xfId="0" applyFont="1" applyFill="1" applyProtection="1">
      <protection hidden="1"/>
    </xf>
    <xf numFmtId="0" fontId="0" fillId="2" borderId="0" xfId="0" applyFill="1" applyAlignment="1" applyProtection="1">
      <alignment horizontal="center"/>
      <protection hidden="1"/>
    </xf>
    <xf numFmtId="1" fontId="0" fillId="0" borderId="11" xfId="0" applyNumberFormat="1" applyBorder="1" applyAlignment="1" applyProtection="1">
      <alignment horizontal="center"/>
      <protection hidden="1"/>
    </xf>
    <xf numFmtId="0" fontId="0" fillId="3" borderId="11" xfId="0" applyFill="1" applyBorder="1" applyAlignment="1" applyProtection="1">
      <alignment horizontal="center"/>
      <protection locked="0"/>
    </xf>
    <xf numFmtId="0" fontId="0" fillId="8" borderId="0" xfId="0" applyFill="1" applyProtection="1">
      <protection hidden="1"/>
    </xf>
    <xf numFmtId="0" fontId="0" fillId="8" borderId="0" xfId="0" applyFill="1" applyAlignment="1" applyProtection="1">
      <alignment wrapText="1"/>
      <protection hidden="1"/>
    </xf>
    <xf numFmtId="0" fontId="0" fillId="0" borderId="11" xfId="0" applyBorder="1" applyAlignment="1" applyProtection="1">
      <alignment vertical="center"/>
      <protection hidden="1"/>
    </xf>
    <xf numFmtId="0" fontId="0" fillId="0" borderId="54" xfId="0" applyBorder="1" applyAlignment="1" applyProtection="1">
      <alignment horizontal="center" vertical="center"/>
      <protection hidden="1"/>
    </xf>
    <xf numFmtId="0" fontId="0" fillId="0" borderId="50" xfId="0" applyBorder="1" applyAlignment="1" applyProtection="1">
      <alignment horizontal="center" vertical="center"/>
      <protection hidden="1"/>
    </xf>
    <xf numFmtId="0" fontId="0" fillId="2" borderId="11" xfId="0" applyFill="1" applyBorder="1" applyProtection="1">
      <protection hidden="1"/>
    </xf>
    <xf numFmtId="0" fontId="0" fillId="2" borderId="11" xfId="0" applyFill="1" applyBorder="1" applyAlignment="1" applyProtection="1">
      <alignment horizontal="center"/>
      <protection hidden="1"/>
    </xf>
    <xf numFmtId="0" fontId="0" fillId="0" borderId="140" xfId="0" applyBorder="1" applyProtection="1">
      <protection hidden="1"/>
    </xf>
    <xf numFmtId="0" fontId="0" fillId="0" borderId="140" xfId="0" applyBorder="1" applyAlignment="1" applyProtection="1">
      <alignment horizontal="center"/>
      <protection hidden="1"/>
    </xf>
    <xf numFmtId="0" fontId="0" fillId="0" borderId="54" xfId="0" applyBorder="1" applyAlignment="1" applyProtection="1">
      <alignment horizontal="center"/>
      <protection hidden="1"/>
    </xf>
    <xf numFmtId="0" fontId="0" fillId="0" borderId="50" xfId="0" applyBorder="1" applyAlignment="1" applyProtection="1">
      <alignment horizontal="center"/>
      <protection hidden="1"/>
    </xf>
    <xf numFmtId="0" fontId="0" fillId="0" borderId="11" xfId="0" applyBorder="1" applyAlignment="1" applyProtection="1">
      <alignment vertical="center" wrapText="1"/>
      <protection hidden="1"/>
    </xf>
    <xf numFmtId="0" fontId="0" fillId="0" borderId="140" xfId="0" applyBorder="1" applyAlignment="1" applyProtection="1">
      <alignment wrapText="1"/>
      <protection hidden="1"/>
    </xf>
    <xf numFmtId="0" fontId="0" fillId="0" borderId="54" xfId="0" applyBorder="1" applyAlignment="1" applyProtection="1">
      <alignment horizontal="center" wrapText="1"/>
      <protection hidden="1"/>
    </xf>
    <xf numFmtId="2" fontId="0" fillId="0" borderId="54" xfId="0" applyNumberFormat="1" applyBorder="1" applyAlignment="1" applyProtection="1">
      <alignment horizontal="center"/>
      <protection hidden="1"/>
    </xf>
    <xf numFmtId="0" fontId="0" fillId="0" borderId="141" xfId="0" applyBorder="1" applyAlignment="1" applyProtection="1">
      <alignment vertical="center"/>
      <protection hidden="1"/>
    </xf>
    <xf numFmtId="0" fontId="0" fillId="0" borderId="141" xfId="0" applyBorder="1" applyProtection="1">
      <protection hidden="1"/>
    </xf>
    <xf numFmtId="0" fontId="0" fillId="0" borderId="141" xfId="0" applyBorder="1" applyAlignment="1" applyProtection="1">
      <alignment horizontal="center"/>
      <protection hidden="1"/>
    </xf>
    <xf numFmtId="0" fontId="0" fillId="0" borderId="141" xfId="0" applyBorder="1" applyAlignment="1" applyProtection="1">
      <alignment horizontal="center" wrapText="1"/>
      <protection hidden="1"/>
    </xf>
    <xf numFmtId="0" fontId="0" fillId="0" borderId="0" xfId="0" applyAlignment="1" applyProtection="1">
      <alignment horizontal="center" wrapText="1"/>
      <protection hidden="1"/>
    </xf>
    <xf numFmtId="0" fontId="8" fillId="0" borderId="0" xfId="0" applyFont="1" applyAlignment="1" applyProtection="1">
      <alignment vertical="center"/>
      <protection locked="0"/>
    </xf>
    <xf numFmtId="0" fontId="8" fillId="0" borderId="0" xfId="0" applyFont="1" applyAlignment="1" applyProtection="1">
      <alignment vertical="center"/>
      <protection hidden="1"/>
    </xf>
    <xf numFmtId="0" fontId="72" fillId="0" borderId="0" xfId="0" applyFont="1" applyProtection="1">
      <protection hidden="1"/>
    </xf>
    <xf numFmtId="0" fontId="64" fillId="0" borderId="0" xfId="0" applyFont="1" applyAlignment="1" applyProtection="1">
      <alignment horizontal="center"/>
      <protection hidden="1"/>
    </xf>
    <xf numFmtId="0" fontId="0" fillId="2" borderId="11" xfId="0" applyFill="1" applyBorder="1" applyAlignment="1" applyProtection="1">
      <alignment horizontal="center" vertical="center"/>
      <protection locked="0"/>
    </xf>
    <xf numFmtId="0" fontId="0" fillId="2" borderId="11" xfId="0" applyFill="1" applyBorder="1" applyAlignment="1" applyProtection="1">
      <alignment horizontal="center" wrapText="1"/>
      <protection hidden="1"/>
    </xf>
    <xf numFmtId="0" fontId="64" fillId="0" borderId="0" xfId="0" applyFont="1" applyProtection="1">
      <protection hidden="1"/>
    </xf>
    <xf numFmtId="0" fontId="64" fillId="8" borderId="0" xfId="0" applyFont="1" applyFill="1" applyProtection="1">
      <protection hidden="1"/>
    </xf>
    <xf numFmtId="0" fontId="48" fillId="0" borderId="0" xfId="0" applyFont="1" applyAlignment="1" applyProtection="1">
      <alignment horizontal="center"/>
      <protection hidden="1"/>
    </xf>
    <xf numFmtId="0" fontId="1" fillId="2" borderId="11" xfId="0" applyFont="1" applyFill="1" applyBorder="1" applyAlignment="1" applyProtection="1">
      <alignment horizontal="center" vertical="center" wrapText="1"/>
      <protection hidden="1"/>
    </xf>
    <xf numFmtId="0" fontId="1" fillId="2" borderId="11" xfId="0" applyFont="1" applyFill="1" applyBorder="1" applyProtection="1">
      <protection hidden="1"/>
    </xf>
    <xf numFmtId="0" fontId="11" fillId="3" borderId="34" xfId="0" applyFont="1" applyFill="1" applyBorder="1" applyAlignment="1" applyProtection="1">
      <alignment horizontal="center"/>
      <protection locked="0"/>
    </xf>
    <xf numFmtId="0" fontId="11" fillId="3" borderId="20" xfId="0" applyFont="1" applyFill="1" applyBorder="1" applyAlignment="1" applyProtection="1">
      <alignment horizontal="center"/>
      <protection locked="0"/>
    </xf>
    <xf numFmtId="0" fontId="11" fillId="3" borderId="15" xfId="0" applyFont="1" applyFill="1" applyBorder="1" applyAlignment="1" applyProtection="1">
      <alignment horizontal="center"/>
      <protection locked="0"/>
    </xf>
    <xf numFmtId="0" fontId="11" fillId="3" borderId="11" xfId="0" applyFont="1" applyFill="1" applyBorder="1" applyAlignment="1" applyProtection="1">
      <alignment horizontal="center"/>
      <protection locked="0"/>
    </xf>
    <xf numFmtId="3" fontId="11" fillId="3" borderId="11" xfId="0" applyNumberFormat="1" applyFont="1" applyFill="1" applyBorder="1" applyAlignment="1" applyProtection="1">
      <alignment horizontal="center"/>
      <protection locked="0"/>
    </xf>
    <xf numFmtId="0" fontId="11" fillId="3" borderId="17" xfId="0" applyFont="1" applyFill="1" applyBorder="1" applyAlignment="1" applyProtection="1">
      <alignment horizontal="center"/>
      <protection locked="0"/>
    </xf>
    <xf numFmtId="0" fontId="11" fillId="3" borderId="46" xfId="0" applyFont="1" applyFill="1" applyBorder="1" applyAlignment="1" applyProtection="1">
      <alignment horizontal="center"/>
      <protection locked="0"/>
    </xf>
    <xf numFmtId="0" fontId="0" fillId="3" borderId="50" xfId="0" applyFill="1" applyBorder="1" applyAlignment="1" applyProtection="1">
      <alignment horizontal="center" vertical="center" wrapText="1"/>
      <protection locked="0"/>
    </xf>
    <xf numFmtId="0" fontId="0" fillId="3" borderId="48" xfId="0" applyFill="1" applyBorder="1" applyAlignment="1" applyProtection="1">
      <alignment horizontal="center" vertical="center" wrapText="1"/>
      <protection locked="0"/>
    </xf>
    <xf numFmtId="0" fontId="0" fillId="3" borderId="27" xfId="0" applyFill="1" applyBorder="1" applyAlignment="1" applyProtection="1">
      <alignment horizontal="center" vertical="center"/>
      <protection locked="0"/>
    </xf>
    <xf numFmtId="0" fontId="11" fillId="10" borderId="11" xfId="0" applyFont="1" applyFill="1" applyBorder="1" applyAlignment="1">
      <alignment horizontal="center"/>
    </xf>
    <xf numFmtId="0" fontId="2" fillId="0" borderId="0" xfId="0" applyFont="1" applyAlignment="1" applyProtection="1">
      <alignment vertical="center" wrapText="1"/>
      <protection hidden="1"/>
    </xf>
    <xf numFmtId="0" fontId="0" fillId="5" borderId="0" xfId="0" applyFill="1" applyProtection="1">
      <protection hidden="1"/>
    </xf>
    <xf numFmtId="0" fontId="7" fillId="2" borderId="0" xfId="0" applyFont="1" applyFill="1" applyAlignment="1" applyProtection="1">
      <alignment vertical="center" wrapText="1"/>
      <protection hidden="1"/>
    </xf>
    <xf numFmtId="0" fontId="11" fillId="2" borderId="0" xfId="0" applyFont="1" applyFill="1" applyAlignment="1" applyProtection="1">
      <alignment horizontal="center" vertical="center"/>
      <protection hidden="1"/>
    </xf>
    <xf numFmtId="0" fontId="11" fillId="2" borderId="0" xfId="0" applyFont="1" applyFill="1" applyAlignment="1" applyProtection="1">
      <alignment vertical="center"/>
      <protection locked="0"/>
    </xf>
    <xf numFmtId="0" fontId="7" fillId="0" borderId="0" xfId="0" applyFont="1" applyAlignment="1" applyProtection="1">
      <alignment vertical="center" wrapText="1"/>
      <protection hidden="1"/>
    </xf>
    <xf numFmtId="0" fontId="11" fillId="0" borderId="0" xfId="0" applyFont="1" applyAlignment="1" applyProtection="1">
      <alignment horizontal="center" vertical="center"/>
      <protection hidden="1"/>
    </xf>
    <xf numFmtId="0" fontId="0" fillId="2" borderId="0" xfId="0" applyFill="1" applyProtection="1">
      <protection locked="0"/>
    </xf>
    <xf numFmtId="0" fontId="0" fillId="2" borderId="0" xfId="0" applyFill="1" applyAlignment="1" applyProtection="1">
      <alignment horizontal="center"/>
      <protection locked="0"/>
    </xf>
    <xf numFmtId="0" fontId="1" fillId="2" borderId="0" xfId="0" applyFont="1" applyFill="1" applyAlignment="1" applyProtection="1">
      <alignment vertical="center"/>
      <protection locked="0"/>
    </xf>
    <xf numFmtId="0" fontId="2" fillId="2" borderId="0" xfId="0" applyFont="1" applyFill="1" applyAlignment="1" applyProtection="1">
      <alignment horizontal="left" vertical="center" wrapText="1"/>
      <protection locked="0"/>
    </xf>
    <xf numFmtId="2" fontId="7" fillId="2" borderId="0" xfId="0" applyNumberFormat="1" applyFont="1" applyFill="1" applyAlignment="1" applyProtection="1">
      <alignment horizontal="center" vertical="center"/>
      <protection hidden="1"/>
    </xf>
    <xf numFmtId="0" fontId="2" fillId="0" borderId="0" xfId="0" applyFont="1" applyAlignment="1" applyProtection="1">
      <alignment horizontal="left" vertical="center" wrapText="1"/>
      <protection locked="0"/>
    </xf>
    <xf numFmtId="2" fontId="7" fillId="0" borderId="0" xfId="0" applyNumberFormat="1" applyFont="1" applyAlignment="1" applyProtection="1">
      <alignment horizontal="center" vertical="center"/>
      <protection hidden="1"/>
    </xf>
    <xf numFmtId="0" fontId="62" fillId="0" borderId="0" xfId="0" quotePrefix="1" applyFont="1" applyAlignment="1" applyProtection="1">
      <alignment horizontal="justify" vertical="center" wrapText="1"/>
      <protection hidden="1"/>
    </xf>
    <xf numFmtId="0" fontId="2" fillId="0" borderId="0" xfId="0" quotePrefix="1" applyFont="1" applyAlignment="1" applyProtection="1">
      <alignment vertical="center" wrapText="1"/>
      <protection hidden="1"/>
    </xf>
    <xf numFmtId="0" fontId="9" fillId="0" borderId="0" xfId="1" applyFill="1" applyBorder="1" applyAlignment="1" applyProtection="1">
      <alignment horizontal="center" vertical="center"/>
      <protection hidden="1"/>
    </xf>
    <xf numFmtId="0" fontId="62" fillId="2" borderId="0" xfId="0" quotePrefix="1" applyFont="1" applyFill="1" applyAlignment="1" applyProtection="1">
      <alignment horizontal="justify" vertical="center" wrapText="1"/>
      <protection hidden="1"/>
    </xf>
    <xf numFmtId="0" fontId="2" fillId="2" borderId="0" xfId="0" quotePrefix="1" applyFont="1" applyFill="1" applyAlignment="1" applyProtection="1">
      <alignment vertical="center" wrapText="1"/>
      <protection hidden="1"/>
    </xf>
    <xf numFmtId="0" fontId="9" fillId="2" borderId="0" xfId="1" applyFill="1" applyBorder="1" applyAlignment="1" applyProtection="1">
      <alignment horizontal="center" vertical="center"/>
      <protection hidden="1"/>
    </xf>
    <xf numFmtId="4" fontId="63" fillId="0" borderId="2" xfId="0" applyNumberFormat="1" applyFont="1" applyBorder="1" applyAlignment="1" applyProtection="1">
      <alignment horizontal="center" vertical="center"/>
      <protection hidden="1"/>
    </xf>
    <xf numFmtId="4" fontId="0" fillId="0" borderId="156" xfId="0" applyNumberFormat="1" applyBorder="1" applyAlignment="1" applyProtection="1">
      <alignment horizontal="center" vertical="center"/>
      <protection hidden="1"/>
    </xf>
    <xf numFmtId="4" fontId="9" fillId="0" borderId="2" xfId="1" applyNumberFormat="1" applyBorder="1" applyAlignment="1" applyProtection="1">
      <alignment horizontal="center" vertical="center"/>
      <protection hidden="1"/>
    </xf>
    <xf numFmtId="0" fontId="8" fillId="2" borderId="9" xfId="0" applyFont="1" applyFill="1" applyBorder="1" applyAlignment="1">
      <alignment horizontal="center" vertical="center" wrapText="1"/>
    </xf>
    <xf numFmtId="9" fontId="8" fillId="2" borderId="10" xfId="2" applyFont="1" applyFill="1" applyBorder="1" applyAlignment="1">
      <alignment horizontal="center" vertical="center" wrapText="1"/>
    </xf>
    <xf numFmtId="0" fontId="0" fillId="10" borderId="1" xfId="0" applyFill="1" applyBorder="1" applyAlignment="1">
      <alignment horizontal="left"/>
    </xf>
    <xf numFmtId="0" fontId="7" fillId="0" borderId="33" xfId="0" applyFont="1" applyBorder="1" applyAlignment="1">
      <alignment horizontal="center"/>
    </xf>
    <xf numFmtId="0" fontId="7" fillId="0" borderId="16" xfId="0" applyFont="1" applyBorder="1" applyAlignment="1">
      <alignment horizontal="center"/>
    </xf>
    <xf numFmtId="0" fontId="7" fillId="0" borderId="18" xfId="0" applyFont="1" applyBorder="1" applyAlignment="1">
      <alignment horizontal="center"/>
    </xf>
    <xf numFmtId="2" fontId="0" fillId="0" borderId="0" xfId="0" applyNumberFormat="1"/>
    <xf numFmtId="170" fontId="0" fillId="0" borderId="0" xfId="0" applyNumberFormat="1"/>
    <xf numFmtId="9" fontId="0" fillId="0" borderId="145" xfId="2" applyFont="1" applyFill="1" applyBorder="1" applyAlignment="1">
      <alignment horizontal="center" vertical="center"/>
    </xf>
    <xf numFmtId="9" fontId="0" fillId="0" borderId="35" xfId="2" applyFont="1" applyFill="1" applyBorder="1" applyAlignment="1">
      <alignment horizontal="center" vertical="center"/>
    </xf>
    <xf numFmtId="0" fontId="52" fillId="0" borderId="0" xfId="0" applyFont="1"/>
    <xf numFmtId="2" fontId="1" fillId="11" borderId="54" xfId="4" applyNumberFormat="1" applyFont="1" applyFill="1" applyBorder="1" applyAlignment="1">
      <alignment horizontal="center" vertical="center"/>
    </xf>
    <xf numFmtId="2" fontId="1" fillId="11" borderId="47" xfId="4" applyNumberFormat="1" applyFont="1" applyFill="1" applyBorder="1" applyAlignment="1">
      <alignment horizontal="center" vertical="center"/>
    </xf>
    <xf numFmtId="0" fontId="1" fillId="0" borderId="12" xfId="0" applyFont="1" applyBorder="1" applyAlignment="1">
      <alignment horizontal="center" wrapText="1"/>
    </xf>
    <xf numFmtId="10" fontId="1" fillId="0" borderId="2" xfId="0" applyNumberFormat="1" applyFont="1" applyBorder="1" applyAlignment="1">
      <alignment horizontal="center" wrapText="1"/>
    </xf>
    <xf numFmtId="165" fontId="1" fillId="0" borderId="2" xfId="0" applyNumberFormat="1" applyFont="1" applyBorder="1" applyAlignment="1">
      <alignment horizontal="center" wrapText="1"/>
    </xf>
    <xf numFmtId="0" fontId="0" fillId="3" borderId="157" xfId="0" applyFill="1" applyBorder="1" applyProtection="1">
      <protection locked="0"/>
    </xf>
    <xf numFmtId="0" fontId="0" fillId="3" borderId="58" xfId="0" applyFill="1" applyBorder="1" applyProtection="1">
      <protection locked="0"/>
    </xf>
    <xf numFmtId="0" fontId="0" fillId="3" borderId="158" xfId="0" applyFill="1" applyBorder="1" applyProtection="1">
      <protection locked="0"/>
    </xf>
    <xf numFmtId="165" fontId="0" fillId="3" borderId="145" xfId="2" applyNumberFormat="1" applyFont="1" applyFill="1" applyBorder="1" applyAlignment="1" applyProtection="1">
      <alignment horizontal="center"/>
      <protection locked="0"/>
    </xf>
    <xf numFmtId="0" fontId="0" fillId="3" borderId="58" xfId="0" applyFill="1" applyBorder="1" applyAlignment="1" applyProtection="1">
      <alignment horizontal="center"/>
      <protection locked="0"/>
    </xf>
    <xf numFmtId="0" fontId="0" fillId="3" borderId="157" xfId="0" applyFill="1" applyBorder="1" applyAlignment="1" applyProtection="1">
      <alignment horizontal="center"/>
      <protection locked="0"/>
    </xf>
    <xf numFmtId="0" fontId="2" fillId="0" borderId="0" xfId="0" applyFont="1" applyAlignment="1">
      <alignment vertical="center" wrapText="1"/>
    </xf>
    <xf numFmtId="165" fontId="0" fillId="3" borderId="133" xfId="0" applyNumberFormat="1" applyFill="1" applyBorder="1" applyAlignment="1" applyProtection="1">
      <alignment horizontal="center"/>
      <protection locked="0"/>
    </xf>
    <xf numFmtId="165" fontId="0" fillId="3" borderId="134" xfId="0" applyNumberFormat="1" applyFill="1" applyBorder="1" applyAlignment="1" applyProtection="1">
      <alignment horizontal="center"/>
      <protection locked="0"/>
    </xf>
    <xf numFmtId="0" fontId="0" fillId="3" borderId="160" xfId="0" applyFill="1" applyBorder="1" applyAlignment="1" applyProtection="1">
      <alignment horizontal="center"/>
      <protection locked="0"/>
    </xf>
    <xf numFmtId="0" fontId="0" fillId="3" borderId="159" xfId="0" applyFill="1" applyBorder="1" applyAlignment="1" applyProtection="1">
      <alignment horizontal="center"/>
      <protection locked="0"/>
    </xf>
    <xf numFmtId="165" fontId="0" fillId="3" borderId="161" xfId="0" applyNumberFormat="1" applyFill="1" applyBorder="1" applyAlignment="1" applyProtection="1">
      <alignment horizontal="center"/>
      <protection locked="0"/>
    </xf>
    <xf numFmtId="165" fontId="0" fillId="3" borderId="162" xfId="0" applyNumberFormat="1" applyFill="1" applyBorder="1" applyAlignment="1" applyProtection="1">
      <alignment horizontal="center"/>
      <protection locked="0"/>
    </xf>
    <xf numFmtId="165" fontId="0" fillId="3" borderId="163" xfId="0" applyNumberFormat="1" applyFill="1" applyBorder="1" applyAlignment="1" applyProtection="1">
      <alignment horizontal="center"/>
      <protection locked="0"/>
    </xf>
    <xf numFmtId="165" fontId="0" fillId="3" borderId="164" xfId="0" applyNumberFormat="1" applyFill="1" applyBorder="1" applyAlignment="1" applyProtection="1">
      <alignment horizontal="center"/>
      <protection locked="0"/>
    </xf>
    <xf numFmtId="0" fontId="7" fillId="10" borderId="37" xfId="0" applyFont="1" applyFill="1" applyBorder="1" applyAlignment="1">
      <alignment horizontal="center" vertical="center"/>
    </xf>
    <xf numFmtId="0" fontId="7" fillId="10" borderId="38" xfId="0" applyFont="1" applyFill="1" applyBorder="1" applyAlignment="1">
      <alignment horizontal="center" vertical="center" wrapText="1"/>
    </xf>
    <xf numFmtId="0" fontId="7" fillId="10" borderId="134" xfId="0" applyFont="1" applyFill="1" applyBorder="1" applyAlignment="1">
      <alignment horizontal="center" vertical="center" wrapText="1"/>
    </xf>
    <xf numFmtId="0" fontId="11" fillId="2" borderId="11" xfId="0" applyFont="1" applyFill="1" applyBorder="1" applyAlignment="1">
      <alignment vertical="center" wrapText="1"/>
    </xf>
    <xf numFmtId="0" fontId="11" fillId="2" borderId="11" xfId="0" applyFont="1" applyFill="1" applyBorder="1" applyAlignment="1">
      <alignment horizontal="center" vertical="center" wrapText="1"/>
    </xf>
    <xf numFmtId="0" fontId="2" fillId="2" borderId="145" xfId="0" applyFont="1" applyFill="1" applyBorder="1" applyAlignment="1">
      <alignment horizontal="center"/>
    </xf>
    <xf numFmtId="0" fontId="2" fillId="2" borderId="147" xfId="0" applyFont="1" applyFill="1" applyBorder="1" applyAlignment="1">
      <alignment horizontal="center"/>
    </xf>
    <xf numFmtId="0" fontId="76" fillId="0" borderId="0" xfId="0" applyFont="1"/>
    <xf numFmtId="0" fontId="0" fillId="3" borderId="155" xfId="0" applyFill="1" applyBorder="1" applyAlignment="1" applyProtection="1">
      <alignment horizontal="center" vertical="center"/>
      <protection locked="0"/>
    </xf>
    <xf numFmtId="0" fontId="2" fillId="26" borderId="0" xfId="0" applyFont="1" applyFill="1" applyAlignment="1">
      <alignment horizontal="left" vertical="top" wrapText="1"/>
    </xf>
    <xf numFmtId="165" fontId="0" fillId="3" borderId="165" xfId="0" applyNumberFormat="1" applyFill="1" applyBorder="1" applyAlignment="1" applyProtection="1">
      <alignment horizontal="center"/>
      <protection locked="0"/>
    </xf>
    <xf numFmtId="165" fontId="0" fillId="3" borderId="166" xfId="0" applyNumberFormat="1" applyFill="1" applyBorder="1" applyAlignment="1" applyProtection="1">
      <alignment horizontal="center"/>
      <protection locked="0"/>
    </xf>
    <xf numFmtId="165" fontId="0" fillId="3" borderId="168" xfId="0" applyNumberFormat="1" applyFill="1" applyBorder="1" applyAlignment="1" applyProtection="1">
      <alignment horizontal="center"/>
      <protection locked="0"/>
    </xf>
    <xf numFmtId="165" fontId="0" fillId="3" borderId="169" xfId="0" applyNumberFormat="1" applyFill="1" applyBorder="1" applyAlignment="1" applyProtection="1">
      <alignment horizontal="center"/>
      <protection locked="0"/>
    </xf>
    <xf numFmtId="165" fontId="0" fillId="3" borderId="170" xfId="0" applyNumberFormat="1" applyFill="1" applyBorder="1" applyAlignment="1" applyProtection="1">
      <alignment horizontal="center"/>
      <protection locked="0"/>
    </xf>
    <xf numFmtId="2" fontId="0" fillId="3" borderId="167" xfId="0" applyNumberFormat="1" applyFill="1" applyBorder="1" applyAlignment="1" applyProtection="1">
      <alignment horizontal="center"/>
      <protection locked="0"/>
    </xf>
    <xf numFmtId="0" fontId="1" fillId="0" borderId="0" xfId="0" applyFont="1" applyAlignment="1">
      <alignment vertical="center" wrapText="1"/>
    </xf>
    <xf numFmtId="2" fontId="0" fillId="0" borderId="52" xfId="0" applyNumberFormat="1" applyBorder="1" applyAlignment="1">
      <alignment horizontal="center"/>
    </xf>
    <xf numFmtId="2" fontId="0" fillId="0" borderId="140" xfId="0" applyNumberFormat="1" applyBorder="1" applyAlignment="1">
      <alignment horizontal="center"/>
    </xf>
    <xf numFmtId="2" fontId="0" fillId="0" borderId="42" xfId="0" applyNumberFormat="1" applyBorder="1" applyAlignment="1">
      <alignment horizontal="center"/>
    </xf>
    <xf numFmtId="2" fontId="0" fillId="3" borderId="3" xfId="0" applyNumberFormat="1" applyFill="1" applyBorder="1" applyAlignment="1" applyProtection="1">
      <alignment horizontal="center"/>
      <protection locked="0"/>
    </xf>
    <xf numFmtId="2" fontId="0" fillId="3" borderId="6" xfId="0" applyNumberFormat="1" applyFill="1" applyBorder="1" applyAlignment="1" applyProtection="1">
      <alignment horizontal="center"/>
      <protection locked="0"/>
    </xf>
    <xf numFmtId="2" fontId="0" fillId="3" borderId="8" xfId="0" applyNumberFormat="1" applyFill="1" applyBorder="1" applyAlignment="1" applyProtection="1">
      <alignment horizontal="center"/>
      <protection locked="0"/>
    </xf>
    <xf numFmtId="0" fontId="0" fillId="0" borderId="12" xfId="0" applyBorder="1" applyAlignment="1">
      <alignment horizontal="center" vertical="center"/>
    </xf>
    <xf numFmtId="2" fontId="0" fillId="3" borderId="171" xfId="0" applyNumberFormat="1" applyFill="1" applyBorder="1" applyAlignment="1" applyProtection="1">
      <alignment horizontal="center"/>
      <protection locked="0"/>
    </xf>
    <xf numFmtId="0" fontId="0" fillId="0" borderId="4" xfId="0" applyBorder="1"/>
    <xf numFmtId="0" fontId="0" fillId="0" borderId="7" xfId="0" applyBorder="1"/>
    <xf numFmtId="165" fontId="0" fillId="0" borderId="16" xfId="0" applyNumberFormat="1" applyBorder="1" applyAlignment="1">
      <alignment horizontal="center"/>
    </xf>
    <xf numFmtId="165" fontId="0" fillId="0" borderId="18" xfId="0" applyNumberFormat="1" applyBorder="1" applyAlignment="1">
      <alignment horizontal="center"/>
    </xf>
    <xf numFmtId="9" fontId="0" fillId="10" borderId="12" xfId="2" applyFont="1" applyFill="1" applyBorder="1" applyAlignment="1" applyProtection="1">
      <alignment horizontal="center" vertical="center" wrapText="1"/>
      <protection hidden="1"/>
    </xf>
    <xf numFmtId="0" fontId="0" fillId="3" borderId="138" xfId="0" applyFill="1" applyBorder="1" applyAlignment="1" applyProtection="1">
      <alignment horizontal="center"/>
      <protection locked="0"/>
    </xf>
    <xf numFmtId="0" fontId="0" fillId="3" borderId="139" xfId="0" applyFill="1" applyBorder="1" applyAlignment="1" applyProtection="1">
      <alignment horizontal="center"/>
      <protection locked="0"/>
    </xf>
    <xf numFmtId="0" fontId="0" fillId="3" borderId="146" xfId="0" applyFill="1" applyBorder="1" applyAlignment="1" applyProtection="1">
      <alignment horizontal="center"/>
      <protection locked="0"/>
    </xf>
    <xf numFmtId="0" fontId="0" fillId="0" borderId="149" xfId="0" applyBorder="1" applyAlignment="1">
      <alignment horizontal="center" vertical="center"/>
    </xf>
    <xf numFmtId="0" fontId="0" fillId="0" borderId="154" xfId="0" applyBorder="1"/>
    <xf numFmtId="0" fontId="0" fillId="0" borderId="172" xfId="0" applyBorder="1"/>
    <xf numFmtId="0" fontId="1" fillId="0" borderId="149" xfId="0" applyFont="1" applyBorder="1" applyAlignment="1">
      <alignment horizontal="center" vertical="center"/>
    </xf>
    <xf numFmtId="0" fontId="77" fillId="0" borderId="0" xfId="0" applyFont="1" applyAlignment="1">
      <alignment horizontal="left"/>
    </xf>
    <xf numFmtId="0" fontId="22" fillId="2" borderId="0" xfId="0" applyFont="1" applyFill="1" applyAlignment="1">
      <alignment horizontal="center" vertical="center"/>
    </xf>
    <xf numFmtId="0" fontId="0" fillId="11" borderId="13" xfId="0" applyFill="1" applyBorder="1" applyAlignment="1">
      <alignment wrapText="1"/>
    </xf>
    <xf numFmtId="0" fontId="1" fillId="10" borderId="0" xfId="0" applyFont="1" applyFill="1"/>
    <xf numFmtId="0" fontId="0" fillId="11" borderId="15" xfId="0" applyFill="1" applyBorder="1" applyAlignment="1">
      <alignment vertical="center" wrapText="1"/>
    </xf>
    <xf numFmtId="0" fontId="0" fillId="2" borderId="17" xfId="0" applyFill="1" applyBorder="1" applyAlignment="1">
      <alignment vertical="center" wrapText="1"/>
    </xf>
    <xf numFmtId="0" fontId="8" fillId="2" borderId="12" xfId="0" applyFont="1" applyFill="1" applyBorder="1" applyAlignment="1">
      <alignment vertical="center" wrapText="1"/>
    </xf>
    <xf numFmtId="0" fontId="0" fillId="3" borderId="147" xfId="0" applyFill="1" applyBorder="1" applyAlignment="1" applyProtection="1">
      <alignment horizontal="center"/>
      <protection locked="0"/>
    </xf>
    <xf numFmtId="0" fontId="0" fillId="3" borderId="133" xfId="0" applyFill="1" applyBorder="1" applyAlignment="1" applyProtection="1">
      <alignment horizontal="center"/>
      <protection locked="0"/>
    </xf>
    <xf numFmtId="0" fontId="0" fillId="3" borderId="134" xfId="0" applyFill="1" applyBorder="1" applyAlignment="1" applyProtection="1">
      <alignment horizontal="center"/>
      <protection locked="0"/>
    </xf>
    <xf numFmtId="0" fontId="1" fillId="2" borderId="12" xfId="0" applyFont="1" applyFill="1" applyBorder="1" applyAlignment="1">
      <alignment horizontal="center" vertical="center" wrapText="1"/>
    </xf>
    <xf numFmtId="2" fontId="0" fillId="0" borderId="175" xfId="0" applyNumberFormat="1" applyBorder="1" applyAlignment="1">
      <alignment horizontal="center" vertical="center"/>
    </xf>
    <xf numFmtId="2" fontId="0" fillId="0" borderId="176" xfId="0" applyNumberFormat="1" applyBorder="1" applyAlignment="1">
      <alignment horizontal="center" vertical="center"/>
    </xf>
    <xf numFmtId="2" fontId="0" fillId="0" borderId="177" xfId="0" applyNumberFormat="1" applyBorder="1" applyAlignment="1">
      <alignment horizontal="center" vertical="center"/>
    </xf>
    <xf numFmtId="0" fontId="0" fillId="3" borderId="56" xfId="0" applyFill="1" applyBorder="1" applyProtection="1">
      <protection locked="0"/>
    </xf>
    <xf numFmtId="0" fontId="0" fillId="3" borderId="178" xfId="0" applyFill="1" applyBorder="1" applyAlignment="1" applyProtection="1">
      <alignment horizontal="center"/>
      <protection locked="0"/>
    </xf>
    <xf numFmtId="0" fontId="0" fillId="3" borderId="179" xfId="0" applyFill="1" applyBorder="1" applyAlignment="1" applyProtection="1">
      <alignment horizontal="center"/>
      <protection locked="0"/>
    </xf>
    <xf numFmtId="9" fontId="0" fillId="0" borderId="180" xfId="2" applyFont="1" applyBorder="1" applyAlignment="1">
      <alignment horizontal="center" vertical="center"/>
    </xf>
    <xf numFmtId="0" fontId="0" fillId="3" borderId="181" xfId="0" applyFill="1" applyBorder="1" applyAlignment="1" applyProtection="1">
      <alignment horizontal="center"/>
      <protection locked="0"/>
    </xf>
    <xf numFmtId="0" fontId="0" fillId="3" borderId="182" xfId="0" applyFill="1" applyBorder="1" applyAlignment="1" applyProtection="1">
      <alignment horizontal="center"/>
      <protection locked="0"/>
    </xf>
    <xf numFmtId="9" fontId="0" fillId="0" borderId="143" xfId="2" applyFont="1" applyBorder="1" applyAlignment="1">
      <alignment horizontal="center" vertical="center"/>
    </xf>
    <xf numFmtId="0" fontId="0" fillId="3" borderId="183" xfId="0" applyFill="1" applyBorder="1" applyAlignment="1" applyProtection="1">
      <alignment horizontal="center"/>
      <protection locked="0"/>
    </xf>
    <xf numFmtId="0" fontId="0" fillId="3" borderId="184" xfId="0" applyFill="1" applyBorder="1" applyAlignment="1" applyProtection="1">
      <alignment horizontal="center"/>
      <protection locked="0"/>
    </xf>
    <xf numFmtId="9" fontId="0" fillId="0" borderId="185" xfId="2" applyFont="1" applyBorder="1" applyAlignment="1">
      <alignment horizontal="center" vertical="center"/>
    </xf>
    <xf numFmtId="0" fontId="0" fillId="0" borderId="186" xfId="0" applyBorder="1" applyAlignment="1">
      <alignment horizontal="center"/>
    </xf>
    <xf numFmtId="0" fontId="0" fillId="3" borderId="186" xfId="0" applyFill="1" applyBorder="1" applyAlignment="1" applyProtection="1">
      <alignment horizontal="center"/>
      <protection locked="0"/>
    </xf>
    <xf numFmtId="9" fontId="11" fillId="0" borderId="142" xfId="2" applyFont="1" applyFill="1" applyBorder="1" applyAlignment="1">
      <alignment horizontal="center" vertical="center" wrapText="1"/>
    </xf>
    <xf numFmtId="0" fontId="0" fillId="3" borderId="187" xfId="0" applyFill="1" applyBorder="1" applyProtection="1">
      <protection locked="0"/>
    </xf>
    <xf numFmtId="0" fontId="0" fillId="0" borderId="59" xfId="0" applyBorder="1" applyAlignment="1">
      <alignment horizontal="center"/>
    </xf>
    <xf numFmtId="0" fontId="0" fillId="3" borderId="59" xfId="0" applyFill="1" applyBorder="1" applyAlignment="1" applyProtection="1">
      <alignment horizontal="center"/>
      <protection locked="0"/>
    </xf>
    <xf numFmtId="9" fontId="11" fillId="0" borderId="143" xfId="2" applyFont="1" applyFill="1" applyBorder="1" applyAlignment="1">
      <alignment horizontal="center" vertical="center" wrapText="1"/>
    </xf>
    <xf numFmtId="0" fontId="0" fillId="3" borderId="188" xfId="0" applyFill="1" applyBorder="1" applyProtection="1">
      <protection locked="0"/>
    </xf>
    <xf numFmtId="0" fontId="0" fillId="0" borderId="189" xfId="0" applyBorder="1" applyAlignment="1">
      <alignment horizontal="center"/>
    </xf>
    <xf numFmtId="0" fontId="0" fillId="3" borderId="189" xfId="0" applyFill="1" applyBorder="1" applyAlignment="1" applyProtection="1">
      <alignment horizontal="center"/>
      <protection locked="0"/>
    </xf>
    <xf numFmtId="9" fontId="11" fillId="0" borderId="148" xfId="2" applyFont="1" applyFill="1" applyBorder="1" applyAlignment="1">
      <alignment horizontal="center" vertical="center" wrapText="1"/>
    </xf>
    <xf numFmtId="0" fontId="0" fillId="3" borderId="190" xfId="0" applyFill="1" applyBorder="1" applyProtection="1">
      <protection locked="0"/>
    </xf>
    <xf numFmtId="0" fontId="0" fillId="3" borderId="111" xfId="0" applyFill="1" applyBorder="1" applyProtection="1">
      <protection locked="0"/>
    </xf>
    <xf numFmtId="0" fontId="0" fillId="3" borderId="45" xfId="0" applyFill="1" applyBorder="1" applyAlignment="1" applyProtection="1">
      <alignment horizontal="center"/>
      <protection locked="0"/>
    </xf>
    <xf numFmtId="0" fontId="0" fillId="3" borderId="116" xfId="0" applyFill="1" applyBorder="1" applyAlignment="1" applyProtection="1">
      <alignment horizontal="center"/>
      <protection locked="0"/>
    </xf>
    <xf numFmtId="0" fontId="0" fillId="0" borderId="191" xfId="0" applyBorder="1" applyAlignment="1">
      <alignment horizontal="center"/>
    </xf>
    <xf numFmtId="9" fontId="0" fillId="0" borderId="116" xfId="2" applyFont="1" applyBorder="1" applyAlignment="1">
      <alignment horizontal="center" vertical="center"/>
    </xf>
    <xf numFmtId="0" fontId="0" fillId="0" borderId="40" xfId="0" applyBorder="1"/>
    <xf numFmtId="0" fontId="0" fillId="3" borderId="25" xfId="0" applyFill="1" applyBorder="1" applyProtection="1">
      <protection locked="0"/>
    </xf>
    <xf numFmtId="0" fontId="0" fillId="3" borderId="140" xfId="0" applyFill="1" applyBorder="1" applyAlignment="1" applyProtection="1">
      <alignment horizontal="center"/>
      <protection locked="0"/>
    </xf>
    <xf numFmtId="0" fontId="0" fillId="0" borderId="22" xfId="0" applyBorder="1" applyAlignment="1">
      <alignment horizontal="center"/>
    </xf>
    <xf numFmtId="9" fontId="0" fillId="0" borderId="140" xfId="2" applyFont="1" applyBorder="1" applyAlignment="1">
      <alignment horizontal="center" vertical="center"/>
    </xf>
    <xf numFmtId="0" fontId="0" fillId="3" borderId="26" xfId="0" applyFill="1" applyBorder="1" applyProtection="1">
      <protection locked="0"/>
    </xf>
    <xf numFmtId="0" fontId="0" fillId="3" borderId="46" xfId="0" applyFill="1" applyBorder="1" applyAlignment="1" applyProtection="1">
      <alignment horizontal="center"/>
      <protection locked="0"/>
    </xf>
    <xf numFmtId="0" fontId="0" fillId="3" borderId="42" xfId="0" applyFill="1" applyBorder="1" applyAlignment="1" applyProtection="1">
      <alignment horizontal="center"/>
      <protection locked="0"/>
    </xf>
    <xf numFmtId="0" fontId="0" fillId="0" borderId="23" xfId="0" applyBorder="1" applyAlignment="1">
      <alignment horizontal="center"/>
    </xf>
    <xf numFmtId="9" fontId="0" fillId="0" borderId="42" xfId="2" applyFont="1" applyBorder="1" applyAlignment="1">
      <alignment horizontal="center" vertical="center"/>
    </xf>
    <xf numFmtId="0" fontId="0" fillId="0" borderId="192" xfId="0" applyBorder="1"/>
    <xf numFmtId="0" fontId="0" fillId="3" borderId="193" xfId="0" applyFill="1" applyBorder="1" applyAlignment="1" applyProtection="1">
      <alignment horizontal="center"/>
      <protection locked="0"/>
    </xf>
    <xf numFmtId="0" fontId="0" fillId="0" borderId="23" xfId="0" applyBorder="1"/>
    <xf numFmtId="0" fontId="1" fillId="0" borderId="194" xfId="0" applyFont="1" applyBorder="1" applyAlignment="1">
      <alignment horizontal="center" vertical="center" wrapText="1"/>
    </xf>
    <xf numFmtId="0" fontId="2" fillId="2" borderId="5" xfId="0" applyFont="1" applyFill="1" applyBorder="1" applyAlignment="1">
      <alignment vertical="center" wrapText="1"/>
    </xf>
    <xf numFmtId="10" fontId="0" fillId="10" borderId="0" xfId="0" applyNumberFormat="1" applyFill="1" applyAlignment="1" applyProtection="1">
      <alignment vertical="center"/>
      <protection locked="0"/>
    </xf>
    <xf numFmtId="165" fontId="0" fillId="10" borderId="0" xfId="0" applyNumberFormat="1" applyFill="1" applyAlignment="1" applyProtection="1">
      <alignment vertical="center"/>
      <protection locked="0"/>
    </xf>
    <xf numFmtId="9" fontId="0" fillId="0" borderId="0" xfId="2" applyFont="1" applyBorder="1" applyAlignment="1" applyProtection="1">
      <alignment horizontal="center" vertical="center"/>
      <protection hidden="1"/>
    </xf>
    <xf numFmtId="0" fontId="8" fillId="2" borderId="19" xfId="0" applyFont="1" applyFill="1" applyBorder="1" applyAlignment="1">
      <alignment vertical="center" wrapText="1"/>
    </xf>
    <xf numFmtId="0" fontId="0" fillId="4" borderId="12" xfId="0" applyFill="1" applyBorder="1" applyAlignment="1" applyProtection="1">
      <alignment horizontal="center" vertical="center"/>
      <protection locked="0"/>
    </xf>
    <xf numFmtId="0" fontId="1" fillId="11" borderId="8" xfId="0" applyFont="1" applyFill="1" applyBorder="1" applyAlignment="1">
      <alignment vertical="center"/>
    </xf>
    <xf numFmtId="0" fontId="78" fillId="0" borderId="0" xfId="0" applyFont="1" applyAlignment="1" applyProtection="1">
      <alignment horizontal="center" vertical="center"/>
      <protection hidden="1"/>
    </xf>
    <xf numFmtId="2" fontId="1" fillId="11" borderId="19" xfId="0" applyNumberFormat="1" applyFont="1" applyFill="1" applyBorder="1" applyAlignment="1">
      <alignment vertical="center"/>
    </xf>
    <xf numFmtId="2" fontId="1" fillId="11" borderId="2" xfId="0" applyNumberFormat="1" applyFont="1" applyFill="1" applyBorder="1" applyAlignment="1">
      <alignment vertical="center"/>
    </xf>
    <xf numFmtId="0" fontId="0" fillId="0" borderId="197" xfId="0" applyBorder="1" applyAlignment="1">
      <alignment horizontal="center"/>
    </xf>
    <xf numFmtId="0" fontId="0" fillId="0" borderId="198" xfId="0" applyBorder="1" applyAlignment="1">
      <alignment horizontal="center"/>
    </xf>
    <xf numFmtId="0" fontId="0" fillId="0" borderId="199" xfId="0" applyBorder="1" applyAlignment="1">
      <alignment horizontal="center"/>
    </xf>
    <xf numFmtId="0" fontId="0" fillId="0" borderId="200" xfId="0" applyBorder="1" applyAlignment="1">
      <alignment horizontal="center"/>
    </xf>
    <xf numFmtId="0" fontId="0" fillId="0" borderId="201" xfId="0" applyBorder="1" applyAlignment="1">
      <alignment horizontal="center"/>
    </xf>
    <xf numFmtId="0" fontId="1" fillId="31" borderId="9" xfId="0" applyFont="1" applyFill="1" applyBorder="1" applyAlignment="1" applyProtection="1">
      <alignment horizontal="center" vertical="center"/>
      <protection locked="0"/>
    </xf>
    <xf numFmtId="0" fontId="1" fillId="10" borderId="12" xfId="0" applyFont="1" applyFill="1" applyBorder="1" applyAlignment="1">
      <alignment horizontal="center" vertical="center" wrapText="1"/>
    </xf>
    <xf numFmtId="0" fontId="1" fillId="0" borderId="8" xfId="0" applyFont="1" applyBorder="1"/>
    <xf numFmtId="0" fontId="1" fillId="0" borderId="9" xfId="0" applyFont="1" applyBorder="1"/>
    <xf numFmtId="2" fontId="1" fillId="0" borderId="28" xfId="0" applyNumberFormat="1" applyFont="1" applyBorder="1" applyAlignment="1">
      <alignment horizontal="center" vertical="center"/>
    </xf>
    <xf numFmtId="0" fontId="1" fillId="31" borderId="9" xfId="0" applyFont="1" applyFill="1" applyBorder="1" applyAlignment="1" applyProtection="1">
      <alignment horizontal="left" vertical="center" wrapText="1"/>
      <protection locked="0"/>
    </xf>
    <xf numFmtId="0" fontId="19" fillId="0" borderId="12" xfId="0" applyFont="1" applyBorder="1" applyAlignment="1">
      <alignment horizontal="center" vertical="center"/>
    </xf>
    <xf numFmtId="0" fontId="1" fillId="0" borderId="203" xfId="0" applyFont="1" applyBorder="1" applyAlignment="1">
      <alignment horizontal="center" vertical="center" wrapText="1"/>
    </xf>
    <xf numFmtId="0" fontId="1" fillId="0" borderId="203" xfId="0" applyFont="1" applyBorder="1" applyAlignment="1">
      <alignment horizontal="center" vertical="center"/>
    </xf>
    <xf numFmtId="0" fontId="1" fillId="0" borderId="204" xfId="0" applyFont="1" applyBorder="1" applyAlignment="1">
      <alignment horizontal="center" vertical="center" wrapText="1"/>
    </xf>
    <xf numFmtId="0" fontId="0" fillId="10" borderId="208" xfId="0" applyFill="1" applyBorder="1" applyAlignment="1">
      <alignment horizontal="left" vertical="center" indent="1"/>
    </xf>
    <xf numFmtId="0" fontId="0" fillId="10" borderId="207" xfId="0" applyFill="1" applyBorder="1" applyAlignment="1">
      <alignment horizontal="left" vertical="center" indent="1"/>
    </xf>
    <xf numFmtId="1" fontId="0" fillId="3" borderId="145" xfId="2" applyNumberFormat="1" applyFont="1" applyFill="1" applyBorder="1" applyAlignment="1" applyProtection="1">
      <alignment horizontal="center"/>
      <protection locked="0"/>
    </xf>
    <xf numFmtId="1" fontId="0" fillId="3" borderId="35" xfId="2" applyNumberFormat="1" applyFont="1" applyFill="1" applyBorder="1" applyAlignment="1" applyProtection="1">
      <alignment horizontal="center"/>
      <protection locked="0"/>
    </xf>
    <xf numFmtId="165" fontId="0" fillId="3" borderId="35" xfId="2" applyNumberFormat="1" applyFont="1" applyFill="1" applyBorder="1" applyAlignment="1" applyProtection="1">
      <alignment horizontal="center"/>
      <protection locked="0"/>
    </xf>
    <xf numFmtId="1" fontId="0" fillId="3" borderId="38" xfId="2" applyNumberFormat="1" applyFont="1" applyFill="1" applyBorder="1" applyAlignment="1" applyProtection="1">
      <alignment horizontal="center"/>
      <protection locked="0"/>
    </xf>
    <xf numFmtId="165" fontId="0" fillId="3" borderId="38" xfId="2" applyNumberFormat="1" applyFont="1" applyFill="1" applyBorder="1" applyAlignment="1" applyProtection="1">
      <alignment horizontal="center"/>
      <protection locked="0"/>
    </xf>
    <xf numFmtId="165" fontId="0" fillId="3" borderId="147" xfId="0" applyNumberFormat="1" applyFill="1" applyBorder="1" applyAlignment="1" applyProtection="1">
      <alignment horizontal="center"/>
      <protection locked="0"/>
    </xf>
    <xf numFmtId="0" fontId="80" fillId="17" borderId="0" xfId="0" applyFont="1" applyFill="1" applyAlignment="1" applyProtection="1">
      <alignment horizontal="left" vertical="center"/>
      <protection hidden="1"/>
    </xf>
    <xf numFmtId="0" fontId="0" fillId="0" borderId="31" xfId="0" applyBorder="1" applyAlignment="1">
      <alignment horizontal="center" vertical="center"/>
    </xf>
    <xf numFmtId="0" fontId="0" fillId="0" borderId="112" xfId="0" applyBorder="1" applyAlignment="1">
      <alignment horizontal="center" vertical="center"/>
    </xf>
    <xf numFmtId="0" fontId="0" fillId="0" borderId="112" xfId="0" applyBorder="1" applyAlignment="1">
      <alignment horizontal="center"/>
    </xf>
    <xf numFmtId="0" fontId="14" fillId="0" borderId="0" xfId="4"/>
    <xf numFmtId="0" fontId="2" fillId="5" borderId="0" xfId="0" applyFont="1" applyFill="1" applyAlignment="1" applyProtection="1">
      <alignment horizontal="left" vertical="center" wrapText="1"/>
      <protection hidden="1"/>
    </xf>
    <xf numFmtId="0" fontId="0" fillId="32" borderId="21" xfId="0" applyFill="1" applyBorder="1" applyAlignment="1" applyProtection="1">
      <alignment horizontal="center" vertical="center"/>
      <protection locked="0"/>
    </xf>
    <xf numFmtId="0" fontId="14" fillId="0" borderId="149" xfId="4" applyBorder="1" applyAlignment="1">
      <alignment horizontal="center"/>
    </xf>
    <xf numFmtId="0" fontId="14" fillId="0" borderId="149" xfId="4" applyBorder="1"/>
    <xf numFmtId="0" fontId="0" fillId="0" borderId="149" xfId="4" applyFont="1" applyBorder="1"/>
    <xf numFmtId="0" fontId="0" fillId="8" borderId="112" xfId="0" applyFill="1" applyBorder="1" applyAlignment="1">
      <alignment horizontal="center" vertical="center"/>
    </xf>
    <xf numFmtId="0" fontId="2" fillId="0" borderId="0" xfId="0" applyFont="1" applyAlignment="1">
      <alignment vertical="top" wrapText="1"/>
    </xf>
    <xf numFmtId="2" fontId="0" fillId="11" borderId="28" xfId="0" applyNumberFormat="1" applyFill="1" applyBorder="1" applyAlignment="1">
      <alignment horizontal="center" vertical="center" wrapText="1"/>
    </xf>
    <xf numFmtId="0" fontId="8" fillId="2" borderId="28" xfId="0" applyFont="1" applyFill="1" applyBorder="1" applyAlignment="1">
      <alignment horizontal="center" vertical="center" wrapText="1"/>
    </xf>
    <xf numFmtId="0" fontId="0" fillId="14" borderId="0" xfId="0" applyFill="1"/>
    <xf numFmtId="0" fontId="0" fillId="14" borderId="0" xfId="0" applyFill="1" applyAlignment="1">
      <alignment horizontal="center"/>
    </xf>
    <xf numFmtId="0" fontId="0" fillId="2" borderId="0" xfId="0" applyFill="1" applyAlignment="1">
      <alignment vertical="center"/>
    </xf>
    <xf numFmtId="0" fontId="1" fillId="2" borderId="0" xfId="0" applyFont="1" applyFill="1" applyAlignment="1">
      <alignment vertical="center"/>
    </xf>
    <xf numFmtId="0" fontId="0" fillId="2" borderId="0" xfId="0" applyFill="1" applyAlignment="1">
      <alignment horizontal="center" vertical="center"/>
    </xf>
    <xf numFmtId="0" fontId="0" fillId="0" borderId="149" xfId="0" applyBorder="1"/>
    <xf numFmtId="0" fontId="1" fillId="0" borderId="31" xfId="0" applyFont="1" applyBorder="1" applyAlignment="1" applyProtection="1">
      <alignment horizontal="center" vertical="center" wrapText="1"/>
      <protection hidden="1"/>
    </xf>
    <xf numFmtId="0" fontId="0" fillId="0" borderId="140" xfId="0" applyBorder="1" applyAlignment="1" applyProtection="1">
      <alignment vertical="center"/>
      <protection hidden="1"/>
    </xf>
    <xf numFmtId="0" fontId="0" fillId="0" borderId="140" xfId="0" applyBorder="1" applyAlignment="1" applyProtection="1">
      <alignment vertical="center" wrapText="1"/>
      <protection hidden="1"/>
    </xf>
    <xf numFmtId="0" fontId="1" fillId="12" borderId="140" xfId="0" applyFont="1" applyFill="1" applyBorder="1" applyAlignment="1" applyProtection="1">
      <alignment vertical="center"/>
      <protection hidden="1"/>
    </xf>
    <xf numFmtId="0" fontId="82" fillId="0" borderId="0" xfId="0" applyFont="1" applyAlignment="1" applyProtection="1">
      <alignment vertical="center"/>
      <protection hidden="1"/>
    </xf>
    <xf numFmtId="0" fontId="21" fillId="0" borderId="0" xfId="0" applyFont="1" applyAlignment="1">
      <alignment horizontal="center" vertical="center"/>
    </xf>
    <xf numFmtId="0" fontId="21" fillId="0" borderId="0" xfId="0" applyFont="1" applyAlignment="1">
      <alignment vertical="center"/>
    </xf>
    <xf numFmtId="165" fontId="0" fillId="3" borderId="13" xfId="0" applyNumberFormat="1" applyFill="1" applyBorder="1" applyAlignment="1" applyProtection="1">
      <alignment horizontal="center"/>
      <protection locked="0"/>
    </xf>
    <xf numFmtId="165" fontId="0" fillId="3" borderId="45" xfId="0" applyNumberFormat="1" applyFill="1" applyBorder="1" applyAlignment="1" applyProtection="1">
      <alignment horizontal="center"/>
      <protection locked="0"/>
    </xf>
    <xf numFmtId="9" fontId="0" fillId="0" borderId="45" xfId="0" applyNumberFormat="1" applyBorder="1" applyAlignment="1">
      <alignment horizontal="center"/>
    </xf>
    <xf numFmtId="9" fontId="0" fillId="0" borderId="14" xfId="0" applyNumberFormat="1" applyBorder="1" applyAlignment="1">
      <alignment horizontal="center"/>
    </xf>
    <xf numFmtId="165" fontId="0" fillId="3" borderId="15" xfId="0" applyNumberFormat="1" applyFill="1" applyBorder="1" applyAlignment="1" applyProtection="1">
      <alignment horizontal="center"/>
      <protection locked="0"/>
    </xf>
    <xf numFmtId="165" fontId="0" fillId="3" borderId="11" xfId="0" applyNumberFormat="1" applyFill="1" applyBorder="1" applyAlignment="1" applyProtection="1">
      <alignment horizontal="center"/>
      <protection locked="0"/>
    </xf>
    <xf numFmtId="9" fontId="0" fillId="0" borderId="11" xfId="0" applyNumberFormat="1" applyBorder="1" applyAlignment="1">
      <alignment horizontal="center"/>
    </xf>
    <xf numFmtId="9" fontId="0" fillId="0" borderId="16" xfId="0" applyNumberFormat="1" applyBorder="1" applyAlignment="1">
      <alignment horizontal="center"/>
    </xf>
    <xf numFmtId="165" fontId="0" fillId="3" borderId="17" xfId="0" applyNumberFormat="1" applyFill="1" applyBorder="1" applyAlignment="1" applyProtection="1">
      <alignment horizontal="center"/>
      <protection locked="0"/>
    </xf>
    <xf numFmtId="165" fontId="0" fillId="3" borderId="46" xfId="0" applyNumberFormat="1" applyFill="1" applyBorder="1" applyAlignment="1" applyProtection="1">
      <alignment horizontal="center"/>
      <protection locked="0"/>
    </xf>
    <xf numFmtId="9" fontId="0" fillId="0" borderId="46" xfId="0" applyNumberFormat="1" applyBorder="1" applyAlignment="1">
      <alignment horizontal="center"/>
    </xf>
    <xf numFmtId="9" fontId="0" fillId="0" borderId="18" xfId="0" applyNumberFormat="1" applyBorder="1" applyAlignment="1">
      <alignment horizontal="center"/>
    </xf>
    <xf numFmtId="0" fontId="21" fillId="0" borderId="0" xfId="0" applyFont="1"/>
    <xf numFmtId="9" fontId="0" fillId="3" borderId="11" xfId="0" applyNumberFormat="1" applyFill="1" applyBorder="1" applyAlignment="1" applyProtection="1">
      <alignment horizontal="center"/>
      <protection locked="0"/>
    </xf>
    <xf numFmtId="0" fontId="1" fillId="0" borderId="60" xfId="0" applyFont="1" applyBorder="1" applyAlignment="1">
      <alignment horizontal="center" vertical="center" wrapText="1"/>
    </xf>
    <xf numFmtId="0" fontId="1" fillId="0" borderId="46" xfId="0" applyFont="1" applyBorder="1" applyAlignment="1">
      <alignment horizontal="center" vertical="center" wrapText="1"/>
    </xf>
    <xf numFmtId="0" fontId="0" fillId="0" borderId="46" xfId="0" applyBorder="1" applyAlignment="1">
      <alignment horizontal="center" vertical="center" wrapText="1"/>
    </xf>
    <xf numFmtId="9" fontId="0" fillId="3" borderId="45" xfId="0" applyNumberFormat="1" applyFill="1" applyBorder="1" applyAlignment="1" applyProtection="1">
      <alignment horizontal="center"/>
      <protection locked="0"/>
    </xf>
    <xf numFmtId="165" fontId="21" fillId="2" borderId="0" xfId="0" applyNumberFormat="1" applyFont="1" applyFill="1" applyAlignment="1">
      <alignment horizontal="center" vertical="center"/>
    </xf>
    <xf numFmtId="10" fontId="21" fillId="2" borderId="0" xfId="0" applyNumberFormat="1" applyFont="1" applyFill="1" applyAlignment="1">
      <alignment horizontal="center" vertical="center"/>
    </xf>
    <xf numFmtId="165" fontId="21" fillId="0" borderId="0" xfId="0" applyNumberFormat="1" applyFont="1" applyAlignment="1">
      <alignment horizontal="center" vertical="center"/>
    </xf>
    <xf numFmtId="10" fontId="21" fillId="0" borderId="0" xfId="0" applyNumberFormat="1" applyFont="1" applyAlignment="1">
      <alignment horizontal="center" vertical="center"/>
    </xf>
    <xf numFmtId="9" fontId="0" fillId="3" borderId="46" xfId="0" applyNumberFormat="1" applyFill="1" applyBorder="1" applyAlignment="1" applyProtection="1">
      <alignment horizontal="center"/>
      <protection locked="0"/>
    </xf>
    <xf numFmtId="165" fontId="5" fillId="0" borderId="0" xfId="0" applyNumberFormat="1" applyFont="1" applyAlignment="1">
      <alignment horizontal="center"/>
    </xf>
    <xf numFmtId="10" fontId="5" fillId="0" borderId="0" xfId="0" applyNumberFormat="1" applyFont="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0" fontId="76" fillId="0" borderId="0" xfId="0" applyFont="1" applyAlignment="1">
      <alignment horizontal="center"/>
    </xf>
    <xf numFmtId="9" fontId="0" fillId="0" borderId="14" xfId="0" applyNumberFormat="1" applyBorder="1" applyAlignment="1">
      <alignment horizontal="center" vertical="center"/>
    </xf>
    <xf numFmtId="9" fontId="0" fillId="0" borderId="16" xfId="0" applyNumberFormat="1" applyBorder="1" applyAlignment="1">
      <alignment horizontal="center" vertical="center"/>
    </xf>
    <xf numFmtId="9" fontId="0" fillId="0" borderId="18" xfId="0" applyNumberFormat="1" applyBorder="1" applyAlignment="1">
      <alignment horizontal="center" vertical="center"/>
    </xf>
    <xf numFmtId="9" fontId="0" fillId="3" borderId="13" xfId="0" applyNumberFormat="1" applyFill="1" applyBorder="1" applyAlignment="1" applyProtection="1">
      <alignment horizontal="center"/>
      <protection locked="0"/>
    </xf>
    <xf numFmtId="9" fontId="0" fillId="3" borderId="15" xfId="0" applyNumberFormat="1" applyFill="1" applyBorder="1" applyAlignment="1" applyProtection="1">
      <alignment horizontal="center"/>
      <protection locked="0"/>
    </xf>
    <xf numFmtId="9" fontId="0" fillId="3" borderId="17" xfId="0" applyNumberFormat="1" applyFill="1" applyBorder="1" applyAlignment="1" applyProtection="1">
      <alignment horizontal="center"/>
      <protection locked="0"/>
    </xf>
    <xf numFmtId="0" fontId="36" fillId="19" borderId="84" xfId="5" applyFont="1" applyFill="1" applyBorder="1" applyAlignment="1">
      <alignment horizontal="left" vertical="top" wrapText="1" indent="1"/>
    </xf>
    <xf numFmtId="0" fontId="37" fillId="19" borderId="80" xfId="5" applyFont="1" applyFill="1" applyBorder="1" applyAlignment="1">
      <alignment horizontal="left" vertical="top" wrapText="1" indent="1"/>
    </xf>
    <xf numFmtId="0" fontId="1" fillId="0" borderId="0" xfId="0" applyFont="1" applyAlignment="1" applyProtection="1">
      <alignment vertical="center"/>
      <protection locked="0"/>
    </xf>
    <xf numFmtId="0" fontId="0" fillId="3" borderId="45" xfId="0" applyFill="1" applyBorder="1" applyAlignment="1" applyProtection="1">
      <alignment horizontal="center" vertical="center"/>
      <protection locked="0"/>
    </xf>
    <xf numFmtId="0" fontId="0" fillId="3" borderId="46" xfId="0" applyFill="1" applyBorder="1" applyAlignment="1" applyProtection="1">
      <alignment horizontal="center" vertical="center"/>
      <protection locked="0"/>
    </xf>
    <xf numFmtId="0" fontId="0" fillId="3" borderId="17" xfId="0" applyFill="1" applyBorder="1" applyAlignment="1" applyProtection="1">
      <alignment horizontal="center" vertical="center"/>
      <protection locked="0"/>
    </xf>
    <xf numFmtId="0" fontId="1" fillId="0" borderId="135" xfId="0" applyFont="1" applyBorder="1" applyAlignment="1">
      <alignment horizontal="center" vertical="center" wrapText="1"/>
    </xf>
    <xf numFmtId="0" fontId="0" fillId="3" borderId="13" xfId="0" applyFill="1" applyBorder="1" applyAlignment="1" applyProtection="1">
      <alignment horizontal="center" vertical="center"/>
      <protection locked="0"/>
    </xf>
    <xf numFmtId="0" fontId="0" fillId="3" borderId="15" xfId="0" applyFill="1" applyBorder="1" applyAlignment="1" applyProtection="1">
      <alignment horizontal="center" vertical="center"/>
      <protection locked="0"/>
    </xf>
    <xf numFmtId="9" fontId="0" fillId="3" borderId="45" xfId="0" applyNumberFormat="1" applyFill="1" applyBorder="1" applyAlignment="1" applyProtection="1">
      <alignment horizontal="center" vertical="center"/>
      <protection locked="0"/>
    </xf>
    <xf numFmtId="9" fontId="0" fillId="3" borderId="11" xfId="0" applyNumberFormat="1" applyFill="1" applyBorder="1" applyAlignment="1" applyProtection="1">
      <alignment horizontal="center" vertical="center"/>
      <protection locked="0"/>
    </xf>
    <xf numFmtId="9" fontId="0" fillId="3" borderId="46" xfId="0" applyNumberFormat="1" applyFill="1" applyBorder="1" applyAlignment="1" applyProtection="1">
      <alignment horizontal="center" vertical="center"/>
      <protection locked="0"/>
    </xf>
    <xf numFmtId="0" fontId="8" fillId="0" borderId="19" xfId="0" applyFont="1" applyBorder="1" applyAlignment="1" applyProtection="1">
      <alignment horizontal="center" vertical="center" wrapText="1"/>
      <protection hidden="1"/>
    </xf>
    <xf numFmtId="9" fontId="0" fillId="0" borderId="38" xfId="2" applyFont="1" applyFill="1" applyBorder="1" applyAlignment="1">
      <alignment horizontal="center" vertical="center"/>
    </xf>
    <xf numFmtId="9" fontId="0" fillId="0" borderId="211" xfId="2" applyFont="1" applyFill="1" applyBorder="1" applyAlignment="1">
      <alignment horizontal="center"/>
    </xf>
    <xf numFmtId="9" fontId="1" fillId="11" borderId="19" xfId="2" applyFont="1" applyFill="1" applyBorder="1" applyAlignment="1">
      <alignment horizontal="center" vertical="center" wrapText="1"/>
    </xf>
    <xf numFmtId="0" fontId="0" fillId="0" borderId="6" xfId="0" applyBorder="1" applyAlignment="1" applyProtection="1">
      <alignment wrapText="1"/>
      <protection locked="0"/>
    </xf>
    <xf numFmtId="0" fontId="67" fillId="0" borderId="1" xfId="0" applyFont="1" applyBorder="1" applyAlignment="1" applyProtection="1">
      <alignment horizontal="center" wrapText="1"/>
      <protection locked="0"/>
    </xf>
    <xf numFmtId="0" fontId="0" fillId="3" borderId="191" xfId="0" applyFill="1" applyBorder="1" applyAlignment="1" applyProtection="1">
      <alignment horizontal="center" vertical="center"/>
      <protection locked="0"/>
    </xf>
    <xf numFmtId="0" fontId="0" fillId="3" borderId="22" xfId="0" applyFill="1" applyBorder="1" applyAlignment="1" applyProtection="1">
      <alignment horizontal="center" vertical="center"/>
      <protection locked="0"/>
    </xf>
    <xf numFmtId="0" fontId="0" fillId="3" borderId="23" xfId="0" applyFill="1" applyBorder="1" applyAlignment="1" applyProtection="1">
      <alignment horizontal="center" vertical="center"/>
      <protection locked="0"/>
    </xf>
    <xf numFmtId="165" fontId="0" fillId="0" borderId="54" xfId="0" applyNumberFormat="1" applyBorder="1" applyAlignment="1" applyProtection="1">
      <alignment horizontal="center"/>
      <protection hidden="1"/>
    </xf>
    <xf numFmtId="0" fontId="0" fillId="2" borderId="11" xfId="0" applyFill="1" applyBorder="1" applyAlignment="1" applyProtection="1">
      <alignment horizontal="center" vertical="center" wrapText="1"/>
      <protection hidden="1"/>
    </xf>
    <xf numFmtId="9" fontId="0" fillId="3" borderId="20" xfId="0" applyNumberFormat="1" applyFill="1" applyBorder="1" applyAlignment="1" applyProtection="1">
      <alignment horizontal="center"/>
      <protection locked="0"/>
    </xf>
    <xf numFmtId="0" fontId="0" fillId="0" borderId="212" xfId="0" applyBorder="1" applyAlignment="1">
      <alignment horizontal="center"/>
    </xf>
    <xf numFmtId="0" fontId="0" fillId="0" borderId="213" xfId="0" applyBorder="1" applyAlignment="1">
      <alignment horizontal="center"/>
    </xf>
    <xf numFmtId="0" fontId="0" fillId="0" borderId="214" xfId="0" applyBorder="1" applyAlignment="1">
      <alignment horizontal="center"/>
    </xf>
    <xf numFmtId="0" fontId="0" fillId="0" borderId="215" xfId="0" applyBorder="1" applyAlignment="1">
      <alignment horizontal="center" vertical="center"/>
    </xf>
    <xf numFmtId="0" fontId="0" fillId="0" borderId="216" xfId="0" applyBorder="1" applyAlignment="1">
      <alignment horizontal="center" vertical="center"/>
    </xf>
    <xf numFmtId="0" fontId="0" fillId="0" borderId="217" xfId="0" applyBorder="1" applyAlignment="1">
      <alignment horizontal="center" vertical="center"/>
    </xf>
    <xf numFmtId="0" fontId="0" fillId="12" borderId="146" xfId="0" applyFill="1" applyBorder="1" applyAlignment="1" applyProtection="1">
      <alignment horizontal="center" vertical="center"/>
      <protection locked="0"/>
    </xf>
    <xf numFmtId="0" fontId="0" fillId="12" borderId="138" xfId="0" applyFill="1" applyBorder="1" applyAlignment="1" applyProtection="1">
      <alignment horizontal="center" vertical="center"/>
      <protection locked="0"/>
    </xf>
    <xf numFmtId="0" fontId="0" fillId="12" borderId="139" xfId="0" applyFill="1" applyBorder="1" applyAlignment="1" applyProtection="1">
      <alignment horizontal="center" vertical="center"/>
      <protection locked="0"/>
    </xf>
    <xf numFmtId="9" fontId="0" fillId="0" borderId="12" xfId="2" applyFont="1" applyFill="1" applyBorder="1" applyAlignment="1" applyProtection="1">
      <alignment horizontal="center"/>
    </xf>
    <xf numFmtId="9" fontId="0" fillId="0" borderId="0" xfId="2" applyFont="1" applyFill="1" applyBorder="1" applyAlignment="1" applyProtection="1">
      <alignment horizontal="center"/>
    </xf>
    <xf numFmtId="0" fontId="0" fillId="0" borderId="218" xfId="0" applyBorder="1" applyAlignment="1">
      <alignment horizontal="center"/>
    </xf>
    <xf numFmtId="0" fontId="0" fillId="0" borderId="219" xfId="0" applyBorder="1" applyAlignment="1">
      <alignment horizontal="center"/>
    </xf>
    <xf numFmtId="0" fontId="0" fillId="0" borderId="220" xfId="0" applyBorder="1" applyAlignment="1">
      <alignment horizontal="center"/>
    </xf>
    <xf numFmtId="9" fontId="0" fillId="3" borderId="221" xfId="2" applyFont="1" applyFill="1" applyBorder="1" applyAlignment="1" applyProtection="1">
      <alignment horizontal="center" vertical="center"/>
      <protection locked="0"/>
    </xf>
    <xf numFmtId="9" fontId="0" fillId="3" borderId="222" xfId="2" applyFont="1" applyFill="1" applyBorder="1" applyAlignment="1" applyProtection="1">
      <alignment horizontal="center" vertical="center"/>
      <protection locked="0"/>
    </xf>
    <xf numFmtId="9" fontId="0" fillId="3" borderId="223" xfId="2" applyFont="1" applyFill="1" applyBorder="1" applyAlignment="1" applyProtection="1">
      <alignment horizontal="center" vertical="center"/>
      <protection locked="0"/>
    </xf>
    <xf numFmtId="0" fontId="2" fillId="0" borderId="0" xfId="0" quotePrefix="1" applyFont="1" applyAlignment="1">
      <alignment vertical="center" wrapText="1"/>
    </xf>
    <xf numFmtId="0" fontId="0" fillId="3" borderId="158" xfId="0" applyFill="1" applyBorder="1" applyAlignment="1" applyProtection="1">
      <alignment horizontal="center"/>
      <protection locked="0"/>
    </xf>
    <xf numFmtId="0" fontId="2" fillId="0" borderId="0" xfId="0" applyFont="1"/>
    <xf numFmtId="165" fontId="1" fillId="0" borderId="12" xfId="0" applyNumberFormat="1" applyFont="1" applyBorder="1" applyAlignment="1">
      <alignment horizontal="center" vertical="center" wrapText="1"/>
    </xf>
    <xf numFmtId="0" fontId="0" fillId="0" borderId="224" xfId="0" applyBorder="1" applyAlignment="1">
      <alignment horizontal="center" vertical="center"/>
    </xf>
    <xf numFmtId="0" fontId="0" fillId="0" borderId="14" xfId="0" applyBorder="1" applyAlignment="1">
      <alignment horizontal="center" vertical="center"/>
    </xf>
    <xf numFmtId="0" fontId="0" fillId="0" borderId="225" xfId="0" applyBorder="1" applyAlignment="1">
      <alignment horizontal="center" vertical="center"/>
    </xf>
    <xf numFmtId="0" fontId="0" fillId="0" borderId="226" xfId="0" applyBorder="1" applyAlignment="1">
      <alignment horizontal="center" vertical="center"/>
    </xf>
    <xf numFmtId="0" fontId="0" fillId="0" borderId="18" xfId="0" applyBorder="1" applyAlignment="1">
      <alignment horizontal="center" vertical="center"/>
    </xf>
    <xf numFmtId="0" fontId="0" fillId="0" borderId="19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9" fontId="7" fillId="0" borderId="19" xfId="2" applyFont="1" applyBorder="1" applyAlignment="1" applyProtection="1">
      <alignment horizontal="center" vertical="center" wrapText="1"/>
      <protection hidden="1"/>
    </xf>
    <xf numFmtId="0" fontId="22" fillId="0" borderId="0" xfId="0" applyFont="1" applyAlignment="1">
      <alignment vertical="center"/>
    </xf>
    <xf numFmtId="0" fontId="22" fillId="0" borderId="0" xfId="0" applyFont="1" applyAlignment="1">
      <alignment horizontal="center" vertical="center"/>
    </xf>
    <xf numFmtId="0" fontId="8" fillId="2" borderId="3" xfId="0" applyFont="1" applyFill="1" applyBorder="1" applyAlignment="1">
      <alignment horizontal="left" wrapText="1"/>
    </xf>
    <xf numFmtId="0" fontId="8" fillId="2" borderId="44" xfId="0" applyFont="1" applyFill="1" applyBorder="1" applyAlignment="1">
      <alignment horizontal="center" wrapText="1"/>
    </xf>
    <xf numFmtId="0" fontId="8" fillId="2" borderId="21" xfId="0" applyFont="1" applyFill="1" applyBorder="1" applyAlignment="1">
      <alignment horizontal="center" wrapText="1"/>
    </xf>
    <xf numFmtId="0" fontId="1" fillId="0" borderId="149" xfId="0" applyFont="1" applyBorder="1" applyAlignment="1">
      <alignment vertical="center" wrapText="1"/>
    </xf>
    <xf numFmtId="0" fontId="0" fillId="0" borderId="111" xfId="0" applyBorder="1" applyAlignment="1">
      <alignment vertical="center"/>
    </xf>
    <xf numFmtId="0" fontId="0" fillId="3" borderId="116" xfId="0" applyFill="1" applyBorder="1" applyAlignment="1" applyProtection="1">
      <alignment horizontal="left" vertical="center"/>
      <protection locked="0"/>
    </xf>
    <xf numFmtId="0" fontId="0" fillId="3" borderId="116" xfId="0" applyFill="1" applyBorder="1" applyAlignment="1" applyProtection="1">
      <alignment horizontal="center" vertical="center"/>
      <protection locked="0"/>
    </xf>
    <xf numFmtId="0" fontId="0" fillId="0" borderId="62" xfId="0" applyBorder="1" applyAlignment="1">
      <alignment horizontal="center" vertical="center"/>
    </xf>
    <xf numFmtId="0" fontId="0" fillId="0" borderId="6" xfId="0" applyBorder="1" applyAlignment="1">
      <alignment vertical="center"/>
    </xf>
    <xf numFmtId="0" fontId="0" fillId="0" borderId="25" xfId="0" applyBorder="1"/>
    <xf numFmtId="0" fontId="0" fillId="3" borderId="140" xfId="0" applyFill="1" applyBorder="1" applyAlignment="1" applyProtection="1">
      <alignment horizontal="left" vertical="center"/>
      <protection locked="0"/>
    </xf>
    <xf numFmtId="0" fontId="0" fillId="3" borderId="140" xfId="0" applyFill="1" applyBorder="1" applyAlignment="1" applyProtection="1">
      <alignment horizontal="center" vertical="center"/>
      <protection locked="0"/>
    </xf>
    <xf numFmtId="0" fontId="0" fillId="0" borderId="193" xfId="0" applyBorder="1" applyAlignment="1">
      <alignment horizontal="center"/>
    </xf>
    <xf numFmtId="0" fontId="0" fillId="0" borderId="26" xfId="0" applyBorder="1"/>
    <xf numFmtId="0" fontId="0" fillId="3" borderId="42" xfId="0" applyFill="1" applyBorder="1" applyAlignment="1" applyProtection="1">
      <alignment horizontal="left" vertical="center"/>
      <protection locked="0"/>
    </xf>
    <xf numFmtId="0" fontId="0" fillId="3" borderId="42" xfId="0" applyFill="1" applyBorder="1" applyAlignment="1" applyProtection="1">
      <alignment horizontal="center" vertical="center"/>
      <protection locked="0"/>
    </xf>
    <xf numFmtId="0" fontId="0" fillId="0" borderId="227" xfId="0" applyBorder="1" applyAlignment="1">
      <alignment horizontal="center"/>
    </xf>
    <xf numFmtId="0" fontId="0" fillId="0" borderId="111" xfId="0" applyBorder="1"/>
    <xf numFmtId="0" fontId="0" fillId="0" borderId="62" xfId="0" applyBorder="1" applyAlignment="1">
      <alignment horizontal="center"/>
    </xf>
    <xf numFmtId="0" fontId="8" fillId="2" borderId="149" xfId="0" applyFont="1" applyFill="1" applyBorder="1"/>
    <xf numFmtId="2" fontId="0" fillId="0" borderId="111" xfId="0" applyNumberFormat="1" applyBorder="1" applyAlignment="1">
      <alignment horizontal="center" vertical="center"/>
    </xf>
    <xf numFmtId="2" fontId="0" fillId="0" borderId="62" xfId="0" applyNumberFormat="1" applyBorder="1" applyAlignment="1">
      <alignment horizontal="center" vertical="center"/>
    </xf>
    <xf numFmtId="2" fontId="0" fillId="0" borderId="25" xfId="0" applyNumberFormat="1" applyBorder="1" applyAlignment="1">
      <alignment horizontal="center" vertical="center"/>
    </xf>
    <xf numFmtId="2" fontId="0" fillId="0" borderId="193" xfId="0" applyNumberFormat="1" applyBorder="1" applyAlignment="1">
      <alignment horizontal="center" vertical="center"/>
    </xf>
    <xf numFmtId="2" fontId="0" fillId="0" borderId="26" xfId="0" applyNumberFormat="1" applyBorder="1" applyAlignment="1">
      <alignment horizontal="center" vertical="center"/>
    </xf>
    <xf numFmtId="2" fontId="0" fillId="0" borderId="227" xfId="0" applyNumberFormat="1" applyBorder="1" applyAlignment="1">
      <alignment horizontal="center" vertical="center"/>
    </xf>
    <xf numFmtId="0" fontId="8" fillId="2" borderId="154" xfId="0" applyFont="1" applyFill="1" applyBorder="1"/>
    <xf numFmtId="0" fontId="8" fillId="2" borderId="210" xfId="0" applyFont="1" applyFill="1" applyBorder="1"/>
    <xf numFmtId="0" fontId="8" fillId="2" borderId="172" xfId="0" applyFont="1" applyFill="1" applyBorder="1"/>
    <xf numFmtId="0" fontId="0" fillId="32" borderId="21" xfId="0" applyFill="1" applyBorder="1" applyAlignment="1">
      <alignment horizontal="center" vertical="center"/>
    </xf>
    <xf numFmtId="0" fontId="0" fillId="3" borderId="28" xfId="0" applyFill="1" applyBorder="1" applyAlignment="1" applyProtection="1">
      <alignment horizontal="center" vertical="center"/>
      <protection locked="0"/>
    </xf>
    <xf numFmtId="0" fontId="8" fillId="2" borderId="8" xfId="0" applyFont="1" applyFill="1" applyBorder="1" applyAlignment="1">
      <alignment horizontal="center" vertical="center" wrapText="1"/>
    </xf>
    <xf numFmtId="0" fontId="0" fillId="0" borderId="149" xfId="0" quotePrefix="1" applyBorder="1" applyAlignment="1">
      <alignment horizontal="center"/>
    </xf>
    <xf numFmtId="0" fontId="1" fillId="0" borderId="149" xfId="0" applyFont="1" applyBorder="1" applyAlignment="1">
      <alignment horizontal="center" textRotation="90" wrapText="1"/>
    </xf>
    <xf numFmtId="0" fontId="0" fillId="3" borderId="229" xfId="0" applyFill="1" applyBorder="1" applyAlignment="1" applyProtection="1">
      <alignment horizontal="center" vertical="center"/>
      <protection locked="0"/>
    </xf>
    <xf numFmtId="0" fontId="1" fillId="0" borderId="228" xfId="0" applyFont="1" applyBorder="1" applyAlignment="1">
      <alignment wrapText="1"/>
    </xf>
    <xf numFmtId="0" fontId="0" fillId="0" borderId="172" xfId="0" applyBorder="1" applyAlignment="1">
      <alignment horizontal="center"/>
    </xf>
    <xf numFmtId="0" fontId="1" fillId="0" borderId="0" xfId="0" applyFont="1" applyAlignment="1">
      <alignment horizontal="left"/>
    </xf>
    <xf numFmtId="0" fontId="1" fillId="0" borderId="53" xfId="0" applyFont="1" applyBorder="1"/>
    <xf numFmtId="0" fontId="1" fillId="0" borderId="53" xfId="0" applyFont="1" applyBorder="1" applyAlignment="1">
      <alignment horizontal="left"/>
    </xf>
    <xf numFmtId="0" fontId="1" fillId="0" borderId="53" xfId="0" applyFont="1" applyBorder="1" applyAlignment="1">
      <alignment horizontal="left" vertical="center" wrapText="1"/>
    </xf>
    <xf numFmtId="0" fontId="0" fillId="0" borderId="23" xfId="0" applyBorder="1" applyAlignment="1" applyProtection="1">
      <alignment horizontal="center" vertical="center"/>
      <protection locked="0"/>
    </xf>
    <xf numFmtId="9" fontId="1" fillId="10" borderId="12" xfId="2" applyFont="1" applyFill="1" applyBorder="1" applyAlignment="1" applyProtection="1">
      <alignment horizontal="center"/>
      <protection locked="0"/>
    </xf>
    <xf numFmtId="0" fontId="1" fillId="10" borderId="12" xfId="0" applyFont="1" applyFill="1" applyBorder="1" applyAlignment="1" applyProtection="1">
      <alignment horizontal="center"/>
      <protection locked="0"/>
    </xf>
    <xf numFmtId="0" fontId="86" fillId="2" borderId="0" xfId="0" applyFont="1" applyFill="1" applyAlignment="1" applyProtection="1">
      <alignment vertical="center"/>
      <protection locked="0"/>
    </xf>
    <xf numFmtId="172" fontId="1" fillId="27" borderId="0" xfId="3" applyNumberFormat="1" applyFont="1" applyFill="1" applyBorder="1" applyAlignment="1">
      <alignment vertical="center"/>
    </xf>
    <xf numFmtId="172" fontId="1" fillId="0" borderId="0" xfId="3" applyNumberFormat="1" applyFont="1" applyBorder="1" applyAlignment="1">
      <alignment horizontal="center" vertical="center"/>
    </xf>
    <xf numFmtId="0" fontId="52" fillId="3" borderId="144" xfId="0" applyFont="1" applyFill="1" applyBorder="1" applyAlignment="1" applyProtection="1">
      <alignment horizontal="left" vertical="center" indent="1"/>
      <protection locked="0"/>
    </xf>
    <xf numFmtId="0" fontId="52" fillId="3" borderId="145" xfId="0" applyFont="1" applyFill="1" applyBorder="1" applyAlignment="1" applyProtection="1">
      <alignment horizontal="left" vertical="center" indent="1"/>
      <protection locked="0"/>
    </xf>
    <xf numFmtId="0" fontId="52" fillId="3" borderId="145" xfId="0" applyFont="1" applyFill="1" applyBorder="1" applyAlignment="1" applyProtection="1">
      <alignment horizontal="center"/>
      <protection locked="0"/>
    </xf>
    <xf numFmtId="169" fontId="52" fillId="3" borderId="145" xfId="2" applyNumberFormat="1" applyFont="1" applyFill="1" applyBorder="1" applyAlignment="1" applyProtection="1">
      <alignment horizontal="center" vertical="center"/>
      <protection locked="0"/>
    </xf>
    <xf numFmtId="170" fontId="52" fillId="3" borderId="146" xfId="0" applyNumberFormat="1" applyFont="1" applyFill="1" applyBorder="1" applyAlignment="1" applyProtection="1">
      <alignment horizontal="center" vertical="center"/>
      <protection locked="0"/>
    </xf>
    <xf numFmtId="0" fontId="52" fillId="3" borderId="230" xfId="0" applyFont="1" applyFill="1" applyBorder="1" applyAlignment="1" applyProtection="1">
      <alignment horizontal="left" vertical="center" indent="1"/>
      <protection locked="0"/>
    </xf>
    <xf numFmtId="0" fontId="52" fillId="3" borderId="39" xfId="0" applyFont="1" applyFill="1" applyBorder="1" applyAlignment="1" applyProtection="1">
      <alignment horizontal="left" vertical="center" indent="1"/>
      <protection locked="0"/>
    </xf>
    <xf numFmtId="169" fontId="0" fillId="3" borderId="39" xfId="2" applyNumberFormat="1" applyFont="1" applyFill="1" applyBorder="1" applyAlignment="1" applyProtection="1">
      <alignment horizontal="center" vertical="center"/>
      <protection locked="0"/>
    </xf>
    <xf numFmtId="170" fontId="0" fillId="3" borderId="231" xfId="0" applyNumberFormat="1" applyFill="1" applyBorder="1" applyAlignment="1" applyProtection="1">
      <alignment horizontal="center" vertical="center"/>
      <protection locked="0"/>
    </xf>
    <xf numFmtId="170" fontId="0" fillId="3" borderId="138" xfId="0" applyNumberFormat="1" applyFill="1" applyBorder="1" applyAlignment="1" applyProtection="1">
      <alignment horizontal="center" vertical="center"/>
      <protection locked="0"/>
    </xf>
    <xf numFmtId="170" fontId="0" fillId="3" borderId="139" xfId="0" applyNumberFormat="1" applyFill="1" applyBorder="1" applyAlignment="1" applyProtection="1">
      <alignment horizontal="center" vertical="center"/>
      <protection locked="0"/>
    </xf>
    <xf numFmtId="0" fontId="11" fillId="3" borderId="11" xfId="0" applyFont="1" applyFill="1" applyBorder="1" applyAlignment="1" applyProtection="1">
      <alignment horizontal="center" vertical="center"/>
      <protection locked="0"/>
    </xf>
    <xf numFmtId="0" fontId="2" fillId="5" borderId="0" xfId="0" applyFont="1" applyFill="1" applyAlignment="1">
      <alignment horizontal="left" vertical="center" wrapText="1"/>
    </xf>
    <xf numFmtId="9" fontId="0" fillId="10" borderId="28" xfId="2" applyFont="1" applyFill="1" applyBorder="1" applyAlignment="1" applyProtection="1">
      <alignment horizontal="center" vertical="center"/>
    </xf>
    <xf numFmtId="2" fontId="0" fillId="0" borderId="28" xfId="0" applyNumberFormat="1" applyBorder="1" applyAlignment="1">
      <alignment horizontal="center" vertical="center"/>
    </xf>
    <xf numFmtId="0" fontId="7" fillId="11" borderId="12" xfId="0" applyFont="1" applyFill="1" applyBorder="1" applyAlignment="1">
      <alignment horizontal="center"/>
    </xf>
    <xf numFmtId="2" fontId="1" fillId="11" borderId="19" xfId="0" applyNumberFormat="1" applyFont="1" applyFill="1" applyBorder="1" applyAlignment="1">
      <alignment horizontal="center" vertical="center"/>
    </xf>
    <xf numFmtId="2" fontId="1" fillId="11" borderId="2" xfId="0" applyNumberFormat="1" applyFont="1" applyFill="1" applyBorder="1" applyAlignment="1">
      <alignment horizontal="center" vertical="center"/>
    </xf>
    <xf numFmtId="0" fontId="0" fillId="2" borderId="149" xfId="0" applyFill="1" applyBorder="1" applyAlignment="1">
      <alignment horizontal="center"/>
    </xf>
    <xf numFmtId="9" fontId="0" fillId="3" borderId="21" xfId="2" applyFont="1" applyFill="1" applyBorder="1" applyAlignment="1" applyProtection="1">
      <alignment horizontal="center" vertical="center"/>
      <protection locked="0"/>
    </xf>
    <xf numFmtId="166" fontId="0" fillId="0" borderId="21" xfId="0" applyNumberFormat="1" applyBorder="1" applyAlignment="1">
      <alignment horizontal="center" vertical="center"/>
    </xf>
    <xf numFmtId="0" fontId="1" fillId="0" borderId="1" xfId="0" applyFont="1" applyBorder="1" applyAlignment="1">
      <alignment horizontal="left"/>
    </xf>
    <xf numFmtId="0" fontId="1" fillId="0" borderId="19" xfId="0" applyFont="1" applyBorder="1" applyAlignment="1">
      <alignment horizontal="left"/>
    </xf>
    <xf numFmtId="0" fontId="1" fillId="0" borderId="2" xfId="0" applyFont="1" applyBorder="1" applyAlignment="1">
      <alignment horizontal="left"/>
    </xf>
    <xf numFmtId="0" fontId="0" fillId="2" borderId="125" xfId="0" applyFill="1" applyBorder="1" applyAlignment="1">
      <alignment horizontal="center"/>
    </xf>
    <xf numFmtId="0" fontId="0" fillId="2" borderId="205" xfId="0" applyFill="1" applyBorder="1" applyAlignment="1">
      <alignment horizontal="center"/>
    </xf>
    <xf numFmtId="0" fontId="0" fillId="2" borderId="206" xfId="0" applyFill="1" applyBorder="1" applyAlignment="1">
      <alignment horizontal="center"/>
    </xf>
    <xf numFmtId="0" fontId="1" fillId="0" borderId="12" xfId="0" applyFont="1" applyBorder="1" applyAlignment="1">
      <alignment horizontal="left"/>
    </xf>
    <xf numFmtId="0" fontId="1" fillId="0" borderId="12" xfId="0" applyFont="1" applyBorder="1" applyAlignment="1">
      <alignment horizontal="center" vertical="center" wrapText="1"/>
    </xf>
    <xf numFmtId="0" fontId="2" fillId="5" borderId="0" xfId="0" applyFont="1" applyFill="1" applyAlignment="1">
      <alignment horizontal="left" vertical="top" wrapText="1"/>
    </xf>
    <xf numFmtId="0" fontId="8" fillId="5" borderId="0" xfId="0" applyFont="1" applyFill="1" applyAlignment="1">
      <alignment vertical="center" wrapText="1"/>
    </xf>
    <xf numFmtId="0" fontId="2" fillId="5" borderId="0" xfId="0" applyFont="1" applyFill="1" applyAlignment="1">
      <alignment vertical="center" wrapText="1"/>
    </xf>
    <xf numFmtId="0" fontId="1" fillId="0" borderId="209" xfId="0" applyFont="1" applyBorder="1" applyAlignment="1">
      <alignment horizontal="center" vertical="center" wrapText="1"/>
    </xf>
    <xf numFmtId="0" fontId="1" fillId="0" borderId="197" xfId="0" applyFont="1" applyBorder="1" applyAlignment="1">
      <alignment horizontal="center" vertical="center" wrapText="1"/>
    </xf>
    <xf numFmtId="0" fontId="1" fillId="0" borderId="53" xfId="0" applyFont="1" applyBorder="1" applyAlignment="1">
      <alignment horizontal="center" vertical="center"/>
    </xf>
    <xf numFmtId="0" fontId="1" fillId="0" borderId="53" xfId="0" applyFont="1" applyBorder="1" applyAlignment="1">
      <alignment horizontal="center" vertical="center" wrapText="1"/>
    </xf>
    <xf numFmtId="0" fontId="1" fillId="0" borderId="125" xfId="0" applyFont="1" applyBorder="1" applyAlignment="1">
      <alignment horizontal="center" wrapText="1"/>
    </xf>
    <xf numFmtId="0" fontId="1" fillId="0" borderId="205" xfId="0" applyFont="1" applyBorder="1" applyAlignment="1">
      <alignment horizontal="center" wrapText="1"/>
    </xf>
    <xf numFmtId="0" fontId="1" fillId="0" borderId="206" xfId="0" applyFont="1" applyBorder="1" applyAlignment="1">
      <alignment horizontal="center" wrapText="1"/>
    </xf>
    <xf numFmtId="0" fontId="1" fillId="0" borderId="149" xfId="0" applyFont="1" applyBorder="1" applyAlignment="1">
      <alignment horizontal="center" vertical="center"/>
    </xf>
    <xf numFmtId="0" fontId="1" fillId="0" borderId="149" xfId="0" applyFont="1" applyBorder="1" applyAlignment="1">
      <alignment horizontal="center"/>
    </xf>
    <xf numFmtId="0" fontId="1" fillId="0" borderId="149" xfId="0" applyFont="1" applyBorder="1" applyAlignment="1">
      <alignment horizontal="center" wrapText="1"/>
    </xf>
    <xf numFmtId="0" fontId="1" fillId="0" borderId="195" xfId="0" applyFont="1" applyBorder="1" applyAlignment="1">
      <alignment horizontal="center" vertical="center" wrapText="1"/>
    </xf>
    <xf numFmtId="0" fontId="1" fillId="0" borderId="196" xfId="0" applyFont="1" applyBorder="1" applyAlignment="1">
      <alignment horizontal="center"/>
    </xf>
    <xf numFmtId="0" fontId="1" fillId="0" borderId="202" xfId="0" applyFont="1" applyBorder="1" applyAlignment="1">
      <alignment horizontal="center"/>
    </xf>
    <xf numFmtId="0" fontId="8" fillId="2" borderId="63" xfId="0" applyFont="1" applyFill="1" applyBorder="1" applyAlignment="1">
      <alignment horizontal="center"/>
    </xf>
    <xf numFmtId="0" fontId="1" fillId="0" borderId="154" xfId="0" applyFont="1" applyBorder="1" applyAlignment="1">
      <alignment horizontal="center" vertical="center"/>
    </xf>
    <xf numFmtId="0" fontId="1" fillId="0" borderId="210" xfId="0" applyFont="1" applyBorder="1" applyAlignment="1">
      <alignment horizontal="center" vertical="center"/>
    </xf>
    <xf numFmtId="0" fontId="1" fillId="0" borderId="172" xfId="0" applyFont="1" applyBorder="1" applyAlignment="1">
      <alignment horizontal="center" vertical="center"/>
    </xf>
    <xf numFmtId="0" fontId="1" fillId="0" borderId="154" xfId="0" applyFont="1" applyBorder="1" applyAlignment="1">
      <alignment horizontal="center" vertical="center" wrapText="1"/>
    </xf>
    <xf numFmtId="0" fontId="1" fillId="0" borderId="210" xfId="0" applyFont="1" applyBorder="1" applyAlignment="1">
      <alignment horizontal="center" vertical="center" wrapText="1"/>
    </xf>
    <xf numFmtId="0" fontId="1" fillId="0" borderId="172" xfId="0" applyFont="1" applyBorder="1" applyAlignment="1">
      <alignment horizontal="center" vertical="center" wrapText="1"/>
    </xf>
    <xf numFmtId="0" fontId="0" fillId="0" borderId="0" xfId="0" applyAlignment="1">
      <alignment horizontal="center"/>
    </xf>
    <xf numFmtId="0" fontId="8" fillId="2" borderId="1" xfId="0" applyFont="1" applyFill="1" applyBorder="1" applyAlignment="1">
      <alignment horizontal="center"/>
    </xf>
    <xf numFmtId="0" fontId="8" fillId="2" borderId="2" xfId="0" applyFont="1" applyFill="1" applyBorder="1" applyAlignment="1">
      <alignment horizontal="center"/>
    </xf>
    <xf numFmtId="0" fontId="2" fillId="0" borderId="0" xfId="0" applyFont="1" applyAlignment="1">
      <alignment horizontal="left" vertical="center" wrapText="1"/>
    </xf>
    <xf numFmtId="0" fontId="1" fillId="0" borderId="228" xfId="0" applyFont="1" applyBorder="1" applyAlignment="1">
      <alignment horizontal="center" vertical="center" wrapText="1"/>
    </xf>
    <xf numFmtId="0" fontId="1" fillId="0" borderId="203" xfId="0" applyFont="1" applyBorder="1" applyAlignment="1">
      <alignment horizontal="center" vertical="center" wrapText="1"/>
    </xf>
    <xf numFmtId="0" fontId="1" fillId="0" borderId="125" xfId="0" applyFont="1" applyBorder="1" applyAlignment="1">
      <alignment horizontal="center"/>
    </xf>
    <xf numFmtId="0" fontId="1" fillId="0" borderId="206" xfId="0" applyFont="1" applyBorder="1" applyAlignment="1">
      <alignment horizontal="center"/>
    </xf>
    <xf numFmtId="0" fontId="8" fillId="2" borderId="63" xfId="0" applyFont="1" applyFill="1" applyBorder="1" applyAlignment="1">
      <alignment horizontal="center" vertical="center"/>
    </xf>
    <xf numFmtId="0" fontId="8" fillId="2" borderId="5" xfId="0" applyFont="1" applyFill="1" applyBorder="1" applyAlignment="1">
      <alignment horizontal="center" wrapText="1"/>
    </xf>
    <xf numFmtId="0" fontId="8" fillId="2" borderId="10" xfId="0" applyFont="1" applyFill="1" applyBorder="1" applyAlignment="1">
      <alignment horizontal="center" wrapText="1"/>
    </xf>
    <xf numFmtId="0" fontId="8" fillId="2" borderId="21" xfId="0" applyFont="1" applyFill="1" applyBorder="1" applyAlignment="1">
      <alignment horizontal="center" wrapText="1"/>
    </xf>
    <xf numFmtId="0" fontId="8" fillId="2" borderId="28" xfId="0" applyFont="1" applyFill="1" applyBorder="1" applyAlignment="1">
      <alignment horizontal="center" wrapText="1"/>
    </xf>
    <xf numFmtId="0" fontId="2" fillId="5" borderId="174" xfId="0" applyFont="1" applyFill="1" applyBorder="1" applyAlignment="1">
      <alignment vertical="center" wrapText="1"/>
    </xf>
    <xf numFmtId="0" fontId="2" fillId="5" borderId="6" xfId="0" applyFont="1" applyFill="1" applyBorder="1" applyAlignment="1">
      <alignment vertical="center" wrapText="1"/>
    </xf>
    <xf numFmtId="0" fontId="0" fillId="3" borderId="61" xfId="0" applyFill="1" applyBorder="1" applyAlignment="1" applyProtection="1">
      <alignment horizontal="center" vertical="center"/>
      <protection locked="0"/>
    </xf>
    <xf numFmtId="0" fontId="0" fillId="3" borderId="62" xfId="0" applyFill="1" applyBorder="1" applyAlignment="1" applyProtection="1">
      <alignment horizontal="center" vertical="center"/>
      <protection locked="0"/>
    </xf>
    <xf numFmtId="0" fontId="2" fillId="5" borderId="56" xfId="0" applyFont="1" applyFill="1" applyBorder="1" applyAlignment="1">
      <alignment vertical="center" wrapText="1"/>
    </xf>
    <xf numFmtId="0" fontId="2" fillId="5" borderId="57" xfId="0" applyFont="1" applyFill="1" applyBorder="1" applyAlignment="1">
      <alignment vertical="center" wrapText="1"/>
    </xf>
    <xf numFmtId="0" fontId="2" fillId="5" borderId="58" xfId="0" applyFont="1" applyFill="1" applyBorder="1" applyAlignment="1">
      <alignment vertical="center" wrapText="1"/>
    </xf>
    <xf numFmtId="0" fontId="2" fillId="5" borderId="59" xfId="0" applyFont="1" applyFill="1" applyBorder="1" applyAlignment="1">
      <alignment vertical="center" wrapText="1"/>
    </xf>
    <xf numFmtId="0" fontId="2" fillId="5" borderId="173" xfId="0" applyFont="1" applyFill="1" applyBorder="1" applyAlignment="1">
      <alignment vertical="center" wrapText="1"/>
    </xf>
    <xf numFmtId="0" fontId="2" fillId="5" borderId="0" xfId="0" applyFont="1" applyFill="1" applyAlignment="1">
      <alignment horizontal="left"/>
    </xf>
    <xf numFmtId="0" fontId="2" fillId="5" borderId="174" xfId="0" applyFont="1" applyFill="1" applyBorder="1" applyAlignment="1">
      <alignment horizontal="left" vertical="center" wrapText="1"/>
    </xf>
    <xf numFmtId="0" fontId="0" fillId="15" borderId="11" xfId="0" applyFill="1" applyBorder="1" applyAlignment="1" applyProtection="1">
      <alignment horizontal="left" vertical="center" wrapText="1"/>
      <protection locked="0"/>
    </xf>
    <xf numFmtId="0" fontId="11" fillId="0" borderId="11" xfId="0" applyFont="1" applyBorder="1" applyAlignment="1" applyProtection="1">
      <alignment vertical="center" wrapText="1"/>
      <protection hidden="1"/>
    </xf>
    <xf numFmtId="0" fontId="11" fillId="0" borderId="54" xfId="0" applyFont="1" applyBorder="1" applyAlignment="1" applyProtection="1">
      <alignment vertical="center" wrapText="1"/>
      <protection hidden="1"/>
    </xf>
    <xf numFmtId="0" fontId="0" fillId="2" borderId="54" xfId="0" applyFill="1" applyBorder="1" applyAlignment="1" applyProtection="1">
      <alignment horizontal="center" vertical="center"/>
      <protection locked="0"/>
    </xf>
    <xf numFmtId="0" fontId="0" fillId="2" borderId="50" xfId="0" applyFill="1" applyBorder="1" applyAlignment="1" applyProtection="1">
      <alignment horizontal="center" vertical="center"/>
      <protection locked="0"/>
    </xf>
    <xf numFmtId="0" fontId="0" fillId="3" borderId="54" xfId="0" applyFill="1" applyBorder="1" applyAlignment="1" applyProtection="1">
      <alignment horizontal="center"/>
      <protection locked="0"/>
    </xf>
    <xf numFmtId="0" fontId="0" fillId="3" borderId="50" xfId="0" applyFill="1" applyBorder="1" applyAlignment="1" applyProtection="1">
      <alignment horizontal="center"/>
      <protection locked="0"/>
    </xf>
    <xf numFmtId="0" fontId="1" fillId="0" borderId="54" xfId="0" applyFont="1" applyBorder="1" applyAlignment="1" applyProtection="1">
      <alignment horizontal="center" vertical="center" wrapText="1"/>
      <protection hidden="1"/>
    </xf>
    <xf numFmtId="0" fontId="1" fillId="0" borderId="50" xfId="0" applyFont="1" applyBorder="1" applyAlignment="1" applyProtection="1">
      <alignment horizontal="center" vertical="center" wrapText="1"/>
      <protection hidden="1"/>
    </xf>
    <xf numFmtId="0" fontId="0" fillId="15" borderId="54" xfId="0" applyFill="1" applyBorder="1" applyAlignment="1" applyProtection="1">
      <alignment vertical="center" wrapText="1"/>
      <protection locked="0"/>
    </xf>
    <xf numFmtId="0" fontId="0" fillId="15" borderId="50" xfId="0" applyFill="1" applyBorder="1" applyAlignment="1" applyProtection="1">
      <alignment vertical="center" wrapText="1"/>
      <protection locked="0"/>
    </xf>
    <xf numFmtId="0" fontId="0" fillId="0" borderId="11" xfId="0" applyBorder="1" applyAlignment="1" applyProtection="1">
      <alignment vertical="center"/>
      <protection hidden="1"/>
    </xf>
    <xf numFmtId="0" fontId="0" fillId="0" borderId="54" xfId="0" applyBorder="1" applyAlignment="1" applyProtection="1">
      <alignment vertical="center"/>
      <protection hidden="1"/>
    </xf>
    <xf numFmtId="0" fontId="52" fillId="0" borderId="152" xfId="0" applyFont="1" applyBorder="1" applyAlignment="1" applyProtection="1">
      <alignment horizontal="left" vertical="center" wrapText="1"/>
      <protection hidden="1"/>
    </xf>
    <xf numFmtId="0" fontId="1" fillId="12" borderId="11" xfId="0" applyFont="1" applyFill="1" applyBorder="1" applyAlignment="1" applyProtection="1">
      <alignment vertical="center"/>
      <protection hidden="1"/>
    </xf>
    <xf numFmtId="0" fontId="1" fillId="12" borderId="54" xfId="0" applyFont="1" applyFill="1" applyBorder="1" applyAlignment="1" applyProtection="1">
      <alignment vertical="center"/>
      <protection hidden="1"/>
    </xf>
    <xf numFmtId="0" fontId="1" fillId="2" borderId="48" xfId="0" applyFont="1" applyFill="1" applyBorder="1" applyAlignment="1" applyProtection="1">
      <alignment horizontal="center" vertical="center"/>
      <protection locked="0"/>
    </xf>
    <xf numFmtId="0" fontId="1" fillId="2" borderId="132" xfId="0" applyFont="1" applyFill="1" applyBorder="1" applyAlignment="1" applyProtection="1">
      <alignment horizontal="center" vertical="center"/>
      <protection locked="0"/>
    </xf>
    <xf numFmtId="0" fontId="1" fillId="0" borderId="11" xfId="0" applyFont="1" applyBorder="1" applyAlignment="1" applyProtection="1">
      <alignment horizontal="center" vertical="center" wrapText="1"/>
      <protection hidden="1"/>
    </xf>
    <xf numFmtId="0" fontId="0" fillId="3" borderId="54" xfId="0" applyFill="1" applyBorder="1" applyAlignment="1" applyProtection="1">
      <alignment vertical="center" wrapText="1"/>
      <protection locked="0"/>
    </xf>
    <xf numFmtId="0" fontId="0" fillId="3" borderId="50" xfId="0" applyFill="1" applyBorder="1" applyAlignment="1" applyProtection="1">
      <alignment vertical="center" wrapText="1"/>
      <protection locked="0"/>
    </xf>
    <xf numFmtId="0" fontId="2" fillId="5" borderId="0" xfId="0" applyFont="1" applyFill="1" applyAlignment="1" applyProtection="1">
      <alignment horizontal="left" vertical="center" wrapText="1"/>
      <protection hidden="1"/>
    </xf>
    <xf numFmtId="0" fontId="2" fillId="26" borderId="0" xfId="0" applyFont="1" applyFill="1" applyAlignment="1" applyProtection="1">
      <alignment horizontal="left" vertical="center" wrapText="1"/>
      <protection hidden="1"/>
    </xf>
    <xf numFmtId="0" fontId="0" fillId="0" borderId="11" xfId="0" applyBorder="1" applyAlignment="1" applyProtection="1">
      <alignment vertical="center" wrapText="1"/>
      <protection hidden="1"/>
    </xf>
    <xf numFmtId="0" fontId="0" fillId="0" borderId="54" xfId="0" applyBorder="1" applyAlignment="1" applyProtection="1">
      <alignment vertical="center" wrapText="1"/>
      <protection hidden="1"/>
    </xf>
    <xf numFmtId="0" fontId="1" fillId="2" borderId="11" xfId="0" applyFont="1" applyFill="1" applyBorder="1" applyAlignment="1" applyProtection="1">
      <alignment horizontal="center" vertical="center" wrapText="1"/>
      <protection hidden="1"/>
    </xf>
    <xf numFmtId="0" fontId="0" fillId="3" borderId="11" xfId="0" applyFill="1" applyBorder="1" applyAlignment="1" applyProtection="1">
      <alignment horizontal="left" vertical="center" wrapText="1"/>
      <protection locked="0"/>
    </xf>
    <xf numFmtId="0" fontId="0" fillId="3" borderId="54" xfId="0" applyFill="1" applyBorder="1" applyAlignment="1" applyProtection="1">
      <alignment horizontal="left" vertical="center" wrapText="1"/>
      <protection locked="0"/>
    </xf>
    <xf numFmtId="0" fontId="0" fillId="3" borderId="140" xfId="0" applyFill="1" applyBorder="1" applyAlignment="1" applyProtection="1">
      <alignment horizontal="left" vertical="center" wrapText="1"/>
      <protection locked="0"/>
    </xf>
    <xf numFmtId="0" fontId="0" fillId="3" borderId="50" xfId="0" applyFill="1" applyBorder="1" applyAlignment="1" applyProtection="1">
      <alignment horizontal="left" vertical="center" wrapText="1"/>
      <protection locked="0"/>
    </xf>
    <xf numFmtId="0" fontId="0" fillId="15" borderId="54" xfId="0" applyFill="1" applyBorder="1" applyAlignment="1" applyProtection="1">
      <alignment horizontal="left" vertical="center" wrapText="1"/>
      <protection locked="0"/>
    </xf>
    <xf numFmtId="0" fontId="0" fillId="15" borderId="140" xfId="0" applyFill="1" applyBorder="1" applyAlignment="1" applyProtection="1">
      <alignment horizontal="left" vertical="center" wrapText="1"/>
      <protection locked="0"/>
    </xf>
    <xf numFmtId="0" fontId="0" fillId="15" borderId="50" xfId="0" applyFill="1" applyBorder="1" applyAlignment="1" applyProtection="1">
      <alignment horizontal="left" vertical="center" wrapText="1"/>
      <protection locked="0"/>
    </xf>
    <xf numFmtId="0" fontId="2" fillId="26" borderId="0" xfId="0" applyFont="1" applyFill="1" applyAlignment="1" applyProtection="1">
      <alignment horizontal="left" vertical="top" wrapText="1"/>
      <protection hidden="1"/>
    </xf>
    <xf numFmtId="0" fontId="2" fillId="26" borderId="0" xfId="0" applyFont="1" applyFill="1" applyAlignment="1" applyProtection="1">
      <alignment horizontal="center" vertical="center" wrapText="1"/>
      <protection hidden="1"/>
    </xf>
    <xf numFmtId="0" fontId="2" fillId="26" borderId="52" xfId="0" applyFont="1" applyFill="1" applyBorder="1" applyAlignment="1" applyProtection="1">
      <alignment horizontal="center" vertical="center" wrapText="1"/>
      <protection hidden="1"/>
    </xf>
    <xf numFmtId="0" fontId="11" fillId="2" borderId="11" xfId="0" applyFont="1" applyFill="1" applyBorder="1" applyAlignment="1">
      <alignment vertical="center" wrapText="1"/>
    </xf>
    <xf numFmtId="0" fontId="70" fillId="26" borderId="0" xfId="0" applyFont="1" applyFill="1" applyAlignment="1" applyProtection="1">
      <alignment horizontal="center" vertical="center" wrapText="1"/>
      <protection hidden="1"/>
    </xf>
    <xf numFmtId="0" fontId="11" fillId="10" borderId="54" xfId="0" applyFont="1" applyFill="1" applyBorder="1" applyAlignment="1">
      <alignment horizontal="center"/>
    </xf>
    <xf numFmtId="0" fontId="11" fillId="10" borderId="140" xfId="0" applyFont="1" applyFill="1" applyBorder="1" applyAlignment="1">
      <alignment horizontal="center"/>
    </xf>
    <xf numFmtId="0" fontId="11" fillId="10" borderId="50" xfId="0" applyFont="1" applyFill="1" applyBorder="1" applyAlignment="1">
      <alignment horizontal="center"/>
    </xf>
    <xf numFmtId="0" fontId="2" fillId="2" borderId="144" xfId="0" applyFont="1" applyFill="1" applyBorder="1" applyAlignment="1">
      <alignment horizontal="center" vertical="center"/>
    </xf>
    <xf numFmtId="0" fontId="2" fillId="2" borderId="145" xfId="0" applyFont="1" applyFill="1" applyBorder="1" applyAlignment="1">
      <alignment horizontal="center" vertical="center"/>
    </xf>
    <xf numFmtId="0" fontId="2" fillId="2" borderId="144" xfId="0" applyFont="1" applyFill="1" applyBorder="1" applyAlignment="1">
      <alignment horizontal="center"/>
    </xf>
    <xf numFmtId="0" fontId="2" fillId="2" borderId="145" xfId="0" applyFont="1" applyFill="1" applyBorder="1" applyAlignment="1">
      <alignment horizontal="center"/>
    </xf>
    <xf numFmtId="0" fontId="2" fillId="2" borderId="145"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 xfId="0" applyFont="1" applyBorder="1" applyAlignment="1">
      <alignment horizontal="center" vertical="center" wrapText="1"/>
    </xf>
    <xf numFmtId="0" fontId="2" fillId="26" borderId="0" xfId="0" applyFont="1" applyFill="1" applyAlignment="1">
      <alignment horizontal="left" vertical="center" wrapText="1"/>
    </xf>
    <xf numFmtId="0" fontId="0" fillId="26" borderId="0" xfId="0" applyFill="1" applyAlignment="1">
      <alignment horizontal="left" vertical="center" wrapText="1"/>
    </xf>
    <xf numFmtId="0" fontId="84" fillId="5" borderId="0" xfId="0" applyFont="1" applyFill="1" applyAlignment="1">
      <alignment horizontal="left" vertical="top" wrapText="1"/>
    </xf>
    <xf numFmtId="0" fontId="1" fillId="0" borderId="11" xfId="0" applyFont="1" applyBorder="1" applyAlignment="1">
      <alignment horizontal="center" wrapText="1"/>
    </xf>
    <xf numFmtId="165" fontId="0" fillId="3" borderId="3" xfId="0" applyNumberFormat="1" applyFill="1" applyBorder="1" applyAlignment="1" applyProtection="1">
      <alignment horizontal="center"/>
      <protection locked="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0" fontId="1" fillId="0" borderId="60" xfId="0" applyFont="1" applyBorder="1" applyAlignment="1">
      <alignment horizontal="center" vertical="center" wrapText="1"/>
    </xf>
    <xf numFmtId="0" fontId="1" fillId="0" borderId="110" xfId="0" applyFont="1" applyBorder="1" applyAlignment="1">
      <alignment horizontal="center" vertical="center" wrapText="1"/>
    </xf>
    <xf numFmtId="0" fontId="1" fillId="0" borderId="114" xfId="0" applyFont="1" applyBorder="1" applyAlignment="1">
      <alignment horizontal="center" vertical="center" wrapText="1"/>
    </xf>
    <xf numFmtId="0" fontId="1" fillId="0" borderId="112" xfId="0" applyFont="1" applyBorder="1" applyAlignment="1">
      <alignment horizontal="center" vertical="center" wrapText="1"/>
    </xf>
    <xf numFmtId="0" fontId="84" fillId="5" borderId="0" xfId="0" quotePrefix="1" applyFont="1" applyFill="1" applyAlignment="1">
      <alignment horizontal="left" vertical="top" wrapText="1"/>
    </xf>
    <xf numFmtId="0" fontId="2" fillId="5" borderId="0" xfId="0" quotePrefix="1" applyFont="1" applyFill="1" applyAlignment="1">
      <alignment horizontal="left" vertical="top" wrapText="1"/>
    </xf>
    <xf numFmtId="0" fontId="2" fillId="5" borderId="0" xfId="4" applyFont="1" applyFill="1" applyAlignment="1" applyProtection="1">
      <alignment horizontal="center" vertical="center" wrapText="1"/>
      <protection hidden="1"/>
    </xf>
    <xf numFmtId="0" fontId="11" fillId="0" borderId="0" xfId="0" applyFont="1" applyAlignment="1" applyProtection="1">
      <alignment horizontal="justify" vertical="top" wrapText="1"/>
      <protection hidden="1"/>
    </xf>
    <xf numFmtId="0" fontId="11" fillId="0" borderId="0" xfId="0" applyFont="1" applyAlignment="1" applyProtection="1">
      <alignment vertical="top" wrapText="1"/>
      <protection hidden="1"/>
    </xf>
    <xf numFmtId="0" fontId="8" fillId="2" borderId="29" xfId="0" applyFont="1" applyFill="1" applyBorder="1" applyAlignment="1" applyProtection="1">
      <alignment horizontal="center" vertical="center" wrapText="1"/>
      <protection hidden="1"/>
    </xf>
    <xf numFmtId="0" fontId="8" fillId="2" borderId="30" xfId="0" applyFont="1" applyFill="1" applyBorder="1" applyAlignment="1" applyProtection="1">
      <alignment horizontal="center" vertical="center" wrapText="1"/>
      <protection hidden="1"/>
    </xf>
    <xf numFmtId="0" fontId="8" fillId="2" borderId="32"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5" xfId="0" applyFont="1" applyBorder="1" applyAlignment="1" applyProtection="1">
      <alignment horizontal="center" vertical="center" wrapText="1"/>
      <protection hidden="1"/>
    </xf>
    <xf numFmtId="0" fontId="11" fillId="10" borderId="45" xfId="4" applyFont="1" applyFill="1" applyBorder="1" applyAlignment="1" applyProtection="1">
      <alignment horizontal="left" vertical="center" wrapText="1" indent="1"/>
      <protection hidden="1"/>
    </xf>
    <xf numFmtId="0" fontId="11" fillId="3" borderId="13" xfId="4" applyFont="1" applyFill="1" applyBorder="1" applyAlignment="1" applyProtection="1">
      <alignment horizontal="left" vertical="center" wrapText="1" indent="1"/>
      <protection locked="0"/>
    </xf>
    <xf numFmtId="0" fontId="11" fillId="3" borderId="45" xfId="4" applyFont="1" applyFill="1" applyBorder="1" applyAlignment="1" applyProtection="1">
      <alignment horizontal="left" vertical="center" wrapText="1" indent="1"/>
      <protection locked="0"/>
    </xf>
    <xf numFmtId="0" fontId="11" fillId="3" borderId="14" xfId="4" applyFont="1" applyFill="1" applyBorder="1" applyAlignment="1" applyProtection="1">
      <alignment horizontal="left" vertical="center" wrapText="1" indent="1"/>
      <protection locked="0"/>
    </xf>
    <xf numFmtId="0" fontId="11" fillId="3" borderId="15" xfId="4" applyFont="1" applyFill="1" applyBorder="1" applyAlignment="1" applyProtection="1">
      <alignment horizontal="left" vertical="center" wrapText="1" indent="1"/>
      <protection locked="0"/>
    </xf>
    <xf numFmtId="0" fontId="11" fillId="3" borderId="11" xfId="4" applyFont="1" applyFill="1" applyBorder="1" applyAlignment="1" applyProtection="1">
      <alignment horizontal="left" vertical="center" wrapText="1" indent="1"/>
      <protection locked="0"/>
    </xf>
    <xf numFmtId="0" fontId="11" fillId="3" borderId="16" xfId="4" applyFont="1" applyFill="1" applyBorder="1" applyAlignment="1" applyProtection="1">
      <alignment horizontal="left" vertical="center" wrapText="1" indent="1"/>
      <protection locked="0"/>
    </xf>
    <xf numFmtId="0" fontId="11" fillId="3" borderId="17" xfId="4" applyFont="1" applyFill="1" applyBorder="1" applyAlignment="1" applyProtection="1">
      <alignment horizontal="left" vertical="center" wrapText="1" indent="1"/>
      <protection locked="0"/>
    </xf>
    <xf numFmtId="0" fontId="11" fillId="3" borderId="46" xfId="4" applyFont="1" applyFill="1" applyBorder="1" applyAlignment="1" applyProtection="1">
      <alignment horizontal="left" vertical="center" wrapText="1" indent="1"/>
      <protection locked="0"/>
    </xf>
    <xf numFmtId="0" fontId="11" fillId="3" borderId="18" xfId="4" applyFont="1" applyFill="1" applyBorder="1" applyAlignment="1" applyProtection="1">
      <alignment horizontal="left" vertical="center" wrapText="1" indent="1"/>
      <protection locked="0"/>
    </xf>
    <xf numFmtId="0" fontId="11" fillId="10" borderId="11" xfId="4" applyFont="1" applyFill="1" applyBorder="1" applyAlignment="1" applyProtection="1">
      <alignment horizontal="left" vertical="center" indent="1"/>
      <protection hidden="1"/>
    </xf>
    <xf numFmtId="0" fontId="11" fillId="10" borderId="46" xfId="4" applyFont="1" applyFill="1" applyBorder="1" applyAlignment="1" applyProtection="1">
      <alignment horizontal="left" vertical="center" wrapText="1" indent="1"/>
      <protection hidden="1"/>
    </xf>
    <xf numFmtId="0" fontId="8" fillId="2" borderId="1" xfId="0" applyFont="1" applyFill="1" applyBorder="1" applyAlignment="1" applyProtection="1">
      <alignment horizontal="center" vertical="center" wrapText="1"/>
      <protection hidden="1"/>
    </xf>
    <xf numFmtId="0" fontId="8" fillId="2" borderId="19" xfId="0" applyFont="1" applyFill="1" applyBorder="1" applyAlignment="1" applyProtection="1">
      <alignment horizontal="center" vertical="center" wrapText="1"/>
      <protection hidden="1"/>
    </xf>
    <xf numFmtId="0" fontId="8" fillId="2" borderId="31" xfId="0" applyFont="1" applyFill="1" applyBorder="1" applyAlignment="1" applyProtection="1">
      <alignment horizontal="center" vertical="center" wrapText="1"/>
      <protection hidden="1"/>
    </xf>
    <xf numFmtId="0" fontId="8" fillId="11" borderId="29" xfId="0" applyFont="1" applyFill="1" applyBorder="1" applyAlignment="1" applyProtection="1">
      <alignment horizontal="left" vertical="center" wrapText="1" indent="1"/>
      <protection hidden="1"/>
    </xf>
    <xf numFmtId="0" fontId="8" fillId="11" borderId="30" xfId="0" applyFont="1" applyFill="1" applyBorder="1" applyAlignment="1" applyProtection="1">
      <alignment horizontal="left" vertical="center" wrapText="1" indent="1"/>
      <protection hidden="1"/>
    </xf>
    <xf numFmtId="0" fontId="8" fillId="11" borderId="32" xfId="0" applyFont="1" applyFill="1" applyBorder="1" applyAlignment="1" applyProtection="1">
      <alignment horizontal="left" vertical="center" wrapText="1" indent="1"/>
      <protection hidden="1"/>
    </xf>
    <xf numFmtId="0" fontId="7" fillId="18" borderId="29" xfId="4" applyFont="1" applyFill="1" applyBorder="1" applyAlignment="1" applyProtection="1">
      <alignment horizontal="center" vertical="center"/>
      <protection hidden="1"/>
    </xf>
    <xf numFmtId="0" fontId="7" fillId="18" borderId="30" xfId="4" applyFont="1" applyFill="1" applyBorder="1" applyAlignment="1" applyProtection="1">
      <alignment horizontal="center" vertical="center"/>
      <protection hidden="1"/>
    </xf>
    <xf numFmtId="0" fontId="7" fillId="18" borderId="31" xfId="4" applyFont="1" applyFill="1" applyBorder="1" applyAlignment="1" applyProtection="1">
      <alignment horizontal="center" vertical="center"/>
      <protection hidden="1"/>
    </xf>
    <xf numFmtId="0" fontId="11" fillId="11" borderId="110" xfId="4" applyFont="1" applyFill="1" applyBorder="1" applyAlignment="1" applyProtection="1">
      <alignment horizontal="left" vertical="center" indent="1"/>
      <protection hidden="1"/>
    </xf>
    <xf numFmtId="0" fontId="11" fillId="11" borderId="108" xfId="4" applyFont="1" applyFill="1" applyBorder="1" applyAlignment="1" applyProtection="1">
      <alignment horizontal="left" vertical="center" indent="1"/>
      <protection hidden="1"/>
    </xf>
    <xf numFmtId="0" fontId="14" fillId="3" borderId="108" xfId="4" applyFill="1" applyBorder="1" applyAlignment="1" applyProtection="1">
      <alignment horizontal="center"/>
      <protection locked="0"/>
    </xf>
    <xf numFmtId="0" fontId="11" fillId="11" borderId="108" xfId="4" applyFont="1" applyFill="1" applyBorder="1" applyAlignment="1" applyProtection="1">
      <alignment horizontal="center" vertical="center"/>
      <protection hidden="1"/>
    </xf>
    <xf numFmtId="0" fontId="1" fillId="0" borderId="108" xfId="4" applyFont="1" applyBorder="1" applyAlignment="1" applyProtection="1">
      <alignment horizontal="center"/>
      <protection hidden="1"/>
    </xf>
    <xf numFmtId="0" fontId="1" fillId="0" borderId="112" xfId="4" applyFont="1" applyBorder="1" applyAlignment="1" applyProtection="1">
      <alignment horizontal="center"/>
      <protection hidden="1"/>
    </xf>
    <xf numFmtId="0" fontId="1" fillId="0" borderId="29" xfId="4" applyFont="1" applyBorder="1" applyAlignment="1" applyProtection="1">
      <alignment horizontal="left" indent="1"/>
      <protection hidden="1"/>
    </xf>
    <xf numFmtId="0" fontId="1" fillId="0" borderId="32" xfId="4" applyFont="1" applyBorder="1" applyAlignment="1" applyProtection="1">
      <alignment horizontal="left" indent="1"/>
      <protection hidden="1"/>
    </xf>
    <xf numFmtId="0" fontId="1" fillId="0" borderId="30" xfId="4" applyFont="1" applyBorder="1" applyAlignment="1" applyProtection="1">
      <alignment horizontal="left" indent="1"/>
      <protection hidden="1"/>
    </xf>
    <xf numFmtId="0" fontId="1" fillId="0" borderId="31" xfId="4" applyFont="1" applyBorder="1" applyAlignment="1" applyProtection="1">
      <alignment horizontal="left" indent="1"/>
      <protection hidden="1"/>
    </xf>
    <xf numFmtId="0" fontId="1" fillId="0" borderId="13" xfId="4" applyFont="1" applyBorder="1" applyAlignment="1" applyProtection="1">
      <alignment horizontal="center"/>
      <protection hidden="1"/>
    </xf>
    <xf numFmtId="0" fontId="1" fillId="0" borderId="45" xfId="4" applyFont="1" applyBorder="1" applyAlignment="1" applyProtection="1">
      <alignment horizontal="center"/>
      <protection hidden="1"/>
    </xf>
    <xf numFmtId="0" fontId="1" fillId="0" borderId="14" xfId="4" applyFont="1" applyBorder="1" applyAlignment="1" applyProtection="1">
      <alignment horizontal="center"/>
      <protection hidden="1"/>
    </xf>
    <xf numFmtId="0" fontId="1" fillId="0" borderId="15" xfId="4" applyFont="1" applyBorder="1" applyAlignment="1" applyProtection="1">
      <alignment horizontal="center"/>
      <protection hidden="1"/>
    </xf>
    <xf numFmtId="0" fontId="1" fillId="0" borderId="11" xfId="4" applyFont="1" applyBorder="1" applyAlignment="1" applyProtection="1">
      <alignment horizontal="center"/>
      <protection hidden="1"/>
    </xf>
    <xf numFmtId="0" fontId="1" fillId="0" borderId="16" xfId="4" applyFont="1" applyBorder="1" applyAlignment="1" applyProtection="1">
      <alignment horizontal="center"/>
      <protection hidden="1"/>
    </xf>
    <xf numFmtId="0" fontId="1" fillId="0" borderId="17" xfId="4" applyFont="1" applyBorder="1" applyAlignment="1" applyProtection="1">
      <alignment horizontal="center"/>
      <protection hidden="1"/>
    </xf>
    <xf numFmtId="0" fontId="1" fillId="0" borderId="46" xfId="4" applyFont="1" applyBorder="1" applyAlignment="1" applyProtection="1">
      <alignment horizontal="center"/>
      <protection hidden="1"/>
    </xf>
    <xf numFmtId="0" fontId="1" fillId="0" borderId="18" xfId="4" applyFont="1" applyBorder="1" applyAlignment="1" applyProtection="1">
      <alignment horizontal="center"/>
      <protection hidden="1"/>
    </xf>
    <xf numFmtId="0" fontId="11" fillId="3" borderId="15" xfId="4" quotePrefix="1" applyFont="1" applyFill="1" applyBorder="1" applyAlignment="1" applyProtection="1">
      <alignment horizontal="left" vertical="center" wrapText="1" indent="1"/>
      <protection locked="0"/>
    </xf>
    <xf numFmtId="0" fontId="11" fillId="0" borderId="15" xfId="4" applyFont="1" applyBorder="1" applyAlignment="1" applyProtection="1">
      <alignment horizontal="left" vertical="center" wrapText="1" indent="1"/>
      <protection hidden="1"/>
    </xf>
    <xf numFmtId="168" fontId="14" fillId="3" borderId="54" xfId="4" applyNumberFormat="1" applyFill="1" applyBorder="1" applyAlignment="1" applyProtection="1">
      <alignment horizontal="center" vertical="center"/>
      <protection locked="0"/>
    </xf>
    <xf numFmtId="0" fontId="2" fillId="5" borderId="1" xfId="4" applyFont="1" applyFill="1" applyBorder="1" applyAlignment="1" applyProtection="1">
      <alignment horizontal="left" vertical="center" wrapText="1" indent="1"/>
      <protection hidden="1"/>
    </xf>
    <xf numFmtId="0" fontId="2" fillId="5" borderId="19" xfId="4" applyFont="1" applyFill="1" applyBorder="1" applyAlignment="1" applyProtection="1">
      <alignment horizontal="left" vertical="center" wrapText="1" indent="1"/>
      <protection hidden="1"/>
    </xf>
    <xf numFmtId="0" fontId="2" fillId="5" borderId="2" xfId="4" applyFont="1" applyFill="1" applyBorder="1" applyAlignment="1" applyProtection="1">
      <alignment horizontal="left" vertical="center" wrapText="1" indent="1"/>
      <protection hidden="1"/>
    </xf>
    <xf numFmtId="0" fontId="11" fillId="0" borderId="113" xfId="4" applyFont="1" applyBorder="1" applyAlignment="1" applyProtection="1">
      <alignment horizontal="left" vertical="center" wrapText="1" indent="1"/>
      <protection hidden="1"/>
    </xf>
    <xf numFmtId="0" fontId="11" fillId="0" borderId="27" xfId="4" applyFont="1" applyBorder="1" applyAlignment="1" applyProtection="1">
      <alignment horizontal="left" vertical="center" wrapText="1" indent="1"/>
      <protection hidden="1"/>
    </xf>
    <xf numFmtId="0" fontId="11" fillId="0" borderId="114" xfId="4" applyFont="1" applyBorder="1" applyAlignment="1" applyProtection="1">
      <alignment horizontal="left" vertical="center" wrapText="1" indent="1"/>
      <protection hidden="1"/>
    </xf>
    <xf numFmtId="0" fontId="11" fillId="0" borderId="34" xfId="4" applyFont="1" applyBorder="1" applyAlignment="1" applyProtection="1">
      <alignment horizontal="left" vertical="center" indent="1"/>
      <protection hidden="1"/>
    </xf>
    <xf numFmtId="0" fontId="11" fillId="0" borderId="41" xfId="4" applyFont="1" applyBorder="1" applyAlignment="1" applyProtection="1">
      <alignment horizontal="left" vertical="center" indent="1"/>
      <protection hidden="1"/>
    </xf>
    <xf numFmtId="0" fontId="14" fillId="3" borderId="34" xfId="4" applyFill="1" applyBorder="1" applyAlignment="1" applyProtection="1">
      <alignment horizontal="left" indent="1"/>
      <protection locked="0"/>
    </xf>
    <xf numFmtId="0" fontId="14" fillId="3" borderId="20" xfId="4" applyFill="1" applyBorder="1" applyAlignment="1" applyProtection="1">
      <alignment horizontal="left" indent="1"/>
      <protection locked="0"/>
    </xf>
    <xf numFmtId="0" fontId="14" fillId="3" borderId="33" xfId="4" applyFill="1" applyBorder="1" applyAlignment="1" applyProtection="1">
      <alignment horizontal="left" indent="1"/>
      <protection locked="0"/>
    </xf>
    <xf numFmtId="0" fontId="11" fillId="10" borderId="18" xfId="4" applyFont="1" applyFill="1" applyBorder="1" applyAlignment="1" applyProtection="1">
      <alignment horizontal="left" vertical="center" wrapText="1" indent="1"/>
      <protection hidden="1"/>
    </xf>
    <xf numFmtId="0" fontId="2" fillId="5" borderId="11" xfId="4" quotePrefix="1" applyFont="1" applyFill="1" applyBorder="1" applyAlignment="1" applyProtection="1">
      <alignment horizontal="left" vertical="center" wrapText="1" indent="1"/>
      <protection hidden="1"/>
    </xf>
    <xf numFmtId="0" fontId="2" fillId="5" borderId="11" xfId="4" applyFont="1" applyFill="1" applyBorder="1" applyAlignment="1" applyProtection="1">
      <alignment horizontal="left" vertical="center" wrapText="1" indent="1"/>
      <protection hidden="1"/>
    </xf>
    <xf numFmtId="0" fontId="2" fillId="5" borderId="16" xfId="4" applyFont="1" applyFill="1" applyBorder="1" applyAlignment="1" applyProtection="1">
      <alignment horizontal="left" vertical="center" wrapText="1" indent="1"/>
      <protection hidden="1"/>
    </xf>
    <xf numFmtId="0" fontId="7" fillId="11" borderId="15" xfId="4" applyFont="1" applyFill="1" applyBorder="1" applyAlignment="1" applyProtection="1">
      <alignment horizontal="left" vertical="center" indent="1"/>
      <protection hidden="1"/>
    </xf>
    <xf numFmtId="0" fontId="7" fillId="11" borderId="11" xfId="4" applyFont="1" applyFill="1" applyBorder="1" applyAlignment="1" applyProtection="1">
      <alignment horizontal="left" vertical="center" indent="1"/>
      <protection hidden="1"/>
    </xf>
    <xf numFmtId="2" fontId="7" fillId="11" borderId="11" xfId="4" applyNumberFormat="1" applyFont="1" applyFill="1" applyBorder="1" applyAlignment="1">
      <alignment horizontal="center" vertical="center"/>
    </xf>
    <xf numFmtId="0" fontId="7" fillId="10" borderId="11" xfId="4" applyFont="1" applyFill="1" applyBorder="1" applyAlignment="1">
      <alignment horizontal="center" vertical="center" wrapText="1"/>
    </xf>
    <xf numFmtId="0" fontId="7" fillId="11" borderId="17" xfId="4" applyFont="1" applyFill="1" applyBorder="1" applyAlignment="1" applyProtection="1">
      <alignment horizontal="left" vertical="center" wrapText="1" indent="1"/>
      <protection hidden="1"/>
    </xf>
    <xf numFmtId="0" fontId="7" fillId="11" borderId="46" xfId="4" applyFont="1" applyFill="1" applyBorder="1" applyAlignment="1" applyProtection="1">
      <alignment horizontal="left" vertical="center" wrapText="1" indent="1"/>
      <protection hidden="1"/>
    </xf>
    <xf numFmtId="2" fontId="7" fillId="11" borderId="46" xfId="4" applyNumberFormat="1" applyFont="1" applyFill="1" applyBorder="1" applyAlignment="1">
      <alignment horizontal="center" vertical="center" wrapText="1"/>
    </xf>
    <xf numFmtId="0" fontId="7" fillId="10" borderId="46" xfId="4" applyFont="1" applyFill="1" applyBorder="1" applyAlignment="1">
      <alignment horizontal="center" vertical="center" wrapText="1"/>
    </xf>
    <xf numFmtId="2" fontId="7" fillId="11" borderId="11" xfId="4" applyNumberFormat="1" applyFont="1" applyFill="1" applyBorder="1" applyAlignment="1">
      <alignment horizontal="center" vertical="center" wrapText="1"/>
    </xf>
    <xf numFmtId="9" fontId="11" fillId="3" borderId="11" xfId="2" applyFont="1" applyFill="1" applyBorder="1" applyAlignment="1" applyProtection="1">
      <alignment horizontal="center" vertical="center" wrapText="1"/>
      <protection locked="0"/>
    </xf>
    <xf numFmtId="0" fontId="1" fillId="0" borderId="34" xfId="4" applyFont="1" applyBorder="1" applyAlignment="1" applyProtection="1">
      <alignment horizontal="center"/>
      <protection hidden="1"/>
    </xf>
    <xf numFmtId="0" fontId="1" fillId="0" borderId="20" xfId="4" applyFont="1" applyBorder="1" applyAlignment="1" applyProtection="1">
      <alignment horizontal="center"/>
      <protection hidden="1"/>
    </xf>
    <xf numFmtId="0" fontId="1" fillId="0" borderId="33" xfId="4" applyFont="1" applyBorder="1" applyAlignment="1" applyProtection="1">
      <alignment horizontal="center"/>
      <protection hidden="1"/>
    </xf>
    <xf numFmtId="0" fontId="2" fillId="5" borderId="17" xfId="4" applyFont="1" applyFill="1" applyBorder="1" applyAlignment="1" applyProtection="1">
      <alignment horizontal="left" vertical="center" wrapText="1" indent="1"/>
      <protection hidden="1"/>
    </xf>
    <xf numFmtId="0" fontId="2" fillId="5" borderId="46" xfId="4" applyFont="1" applyFill="1" applyBorder="1" applyAlignment="1" applyProtection="1">
      <alignment horizontal="left" vertical="center" wrapText="1" indent="1"/>
      <protection hidden="1"/>
    </xf>
    <xf numFmtId="0" fontId="2" fillId="5" borderId="108" xfId="4" applyFont="1" applyFill="1" applyBorder="1" applyAlignment="1" applyProtection="1">
      <alignment horizontal="left" vertical="center" wrapText="1" indent="1"/>
      <protection hidden="1"/>
    </xf>
    <xf numFmtId="0" fontId="2" fillId="5" borderId="109" xfId="4" applyFont="1" applyFill="1" applyBorder="1" applyAlignment="1" applyProtection="1">
      <alignment horizontal="left" vertical="center" wrapText="1" indent="1"/>
      <protection hidden="1"/>
    </xf>
    <xf numFmtId="0" fontId="11" fillId="10" borderId="11" xfId="4" applyFont="1" applyFill="1" applyBorder="1" applyAlignment="1" applyProtection="1">
      <alignment horizontal="left" vertical="center" wrapText="1" indent="1"/>
      <protection hidden="1"/>
    </xf>
    <xf numFmtId="0" fontId="11" fillId="10" borderId="16" xfId="4" applyFont="1" applyFill="1" applyBorder="1" applyAlignment="1" applyProtection="1">
      <alignment horizontal="left" vertical="center" wrapText="1" indent="1"/>
      <protection hidden="1"/>
    </xf>
    <xf numFmtId="0" fontId="14" fillId="0" borderId="0" xfId="4" applyAlignment="1" applyProtection="1">
      <alignment horizontal="left" indent="1"/>
      <protection hidden="1"/>
    </xf>
    <xf numFmtId="0" fontId="14" fillId="0" borderId="0" xfId="4" applyAlignment="1" applyProtection="1">
      <alignment horizontal="left" vertical="top"/>
      <protection hidden="1"/>
    </xf>
    <xf numFmtId="0" fontId="1" fillId="0" borderId="29" xfId="0" applyFont="1" applyBorder="1" applyAlignment="1" applyProtection="1">
      <alignment horizontal="center" vertical="center" wrapText="1"/>
      <protection hidden="1"/>
    </xf>
    <xf numFmtId="0" fontId="1" fillId="0" borderId="30" xfId="0" applyFont="1" applyBorder="1" applyAlignment="1" applyProtection="1">
      <alignment horizontal="center" vertical="center" wrapText="1"/>
      <protection hidden="1"/>
    </xf>
    <xf numFmtId="0" fontId="1" fillId="0" borderId="31" xfId="0" applyFont="1" applyBorder="1" applyAlignment="1" applyProtection="1">
      <alignment horizontal="center" vertical="center" wrapText="1"/>
      <protection hidden="1"/>
    </xf>
    <xf numFmtId="0" fontId="11" fillId="10" borderId="20" xfId="4" applyFont="1" applyFill="1" applyBorder="1" applyAlignment="1" applyProtection="1">
      <alignment horizontal="left" vertical="center" wrapText="1" indent="1"/>
      <protection hidden="1"/>
    </xf>
    <xf numFmtId="0" fontId="11" fillId="10" borderId="41" xfId="4" applyFont="1" applyFill="1" applyBorder="1" applyAlignment="1" applyProtection="1">
      <alignment horizontal="left" vertical="center" wrapText="1" indent="1"/>
      <protection hidden="1"/>
    </xf>
    <xf numFmtId="0" fontId="11" fillId="3" borderId="34" xfId="4" applyFont="1" applyFill="1" applyBorder="1" applyAlignment="1" applyProtection="1">
      <alignment horizontal="left" vertical="center" wrapText="1" indent="1"/>
      <protection locked="0"/>
    </xf>
    <xf numFmtId="0" fontId="11" fillId="3" borderId="20" xfId="4" applyFont="1" applyFill="1" applyBorder="1" applyAlignment="1" applyProtection="1">
      <alignment horizontal="left" vertical="center" wrapText="1" indent="1"/>
      <protection locked="0"/>
    </xf>
    <xf numFmtId="0" fontId="11" fillId="3" borderId="33" xfId="4" applyFont="1" applyFill="1" applyBorder="1" applyAlignment="1" applyProtection="1">
      <alignment horizontal="left" vertical="center" wrapText="1" indent="1"/>
      <protection locked="0"/>
    </xf>
    <xf numFmtId="0" fontId="11" fillId="10" borderId="54" xfId="4" applyFont="1" applyFill="1" applyBorder="1" applyAlignment="1" applyProtection="1">
      <alignment horizontal="left" vertical="center" indent="1"/>
      <protection hidden="1"/>
    </xf>
    <xf numFmtId="0" fontId="11" fillId="0" borderId="17" xfId="4" applyFont="1" applyBorder="1" applyAlignment="1" applyProtection="1">
      <alignment horizontal="left" vertical="center" wrapText="1" indent="1"/>
      <protection hidden="1"/>
    </xf>
    <xf numFmtId="0" fontId="11" fillId="0" borderId="46" xfId="4" applyFont="1" applyBorder="1" applyAlignment="1" applyProtection="1">
      <alignment horizontal="left" vertical="center" wrapText="1" indent="1"/>
      <protection hidden="1"/>
    </xf>
    <xf numFmtId="0" fontId="11" fillId="0" borderId="18" xfId="4" applyFont="1" applyBorder="1" applyAlignment="1" applyProtection="1">
      <alignment horizontal="left" vertical="center" wrapText="1" indent="1"/>
      <protection hidden="1"/>
    </xf>
    <xf numFmtId="0" fontId="8" fillId="2" borderId="3" xfId="0" applyFont="1" applyFill="1" applyBorder="1" applyAlignment="1" applyProtection="1">
      <alignment horizontal="center" vertical="center" wrapText="1"/>
      <protection hidden="1"/>
    </xf>
    <xf numFmtId="0" fontId="8" fillId="2" borderId="4" xfId="0" applyFont="1" applyFill="1" applyBorder="1" applyAlignment="1" applyProtection="1">
      <alignment horizontal="center" vertical="center" wrapText="1"/>
      <protection hidden="1"/>
    </xf>
    <xf numFmtId="0" fontId="8" fillId="2" borderId="115" xfId="0" applyFont="1" applyFill="1" applyBorder="1" applyAlignment="1" applyProtection="1">
      <alignment horizontal="center" vertical="center" wrapText="1"/>
      <protection hidden="1"/>
    </xf>
    <xf numFmtId="0" fontId="8" fillId="2" borderId="111" xfId="0" applyFont="1" applyFill="1" applyBorder="1" applyAlignment="1" applyProtection="1">
      <alignment horizontal="center" vertical="center" wrapText="1"/>
      <protection hidden="1"/>
    </xf>
    <xf numFmtId="0" fontId="8" fillId="2" borderId="116" xfId="0" applyFont="1" applyFill="1" applyBorder="1" applyAlignment="1" applyProtection="1">
      <alignment horizontal="center" vertical="center" wrapText="1"/>
      <protection hidden="1"/>
    </xf>
    <xf numFmtId="0" fontId="8" fillId="2" borderId="62" xfId="0" applyFont="1" applyFill="1" applyBorder="1" applyAlignment="1" applyProtection="1">
      <alignment horizontal="center" vertical="center" wrapText="1"/>
      <protection hidden="1"/>
    </xf>
    <xf numFmtId="0" fontId="11" fillId="11" borderId="34" xfId="4" applyFont="1" applyFill="1" applyBorder="1" applyAlignment="1" applyProtection="1">
      <alignment horizontal="left" vertical="center" indent="1"/>
      <protection hidden="1"/>
    </xf>
    <xf numFmtId="0" fontId="11" fillId="11" borderId="20" xfId="4" applyFont="1" applyFill="1" applyBorder="1" applyAlignment="1" applyProtection="1">
      <alignment horizontal="left" vertical="center" indent="1"/>
      <protection hidden="1"/>
    </xf>
    <xf numFmtId="0" fontId="14" fillId="3" borderId="41" xfId="4" applyFill="1" applyBorder="1" applyAlignment="1" applyProtection="1">
      <alignment horizontal="left" indent="1"/>
      <protection locked="0"/>
    </xf>
    <xf numFmtId="0" fontId="14" fillId="3" borderId="34" xfId="0" applyFont="1" applyFill="1" applyBorder="1" applyAlignment="1" applyProtection="1">
      <alignment horizontal="left" vertical="center" wrapText="1" indent="1"/>
      <protection locked="0"/>
    </xf>
    <xf numFmtId="0" fontId="14" fillId="3" borderId="20" xfId="0" applyFont="1" applyFill="1" applyBorder="1" applyAlignment="1" applyProtection="1">
      <alignment horizontal="left" vertical="center" wrapText="1" indent="1"/>
      <protection locked="0"/>
    </xf>
    <xf numFmtId="0" fontId="14" fillId="3" borderId="33" xfId="0" applyFont="1" applyFill="1" applyBorder="1" applyAlignment="1" applyProtection="1">
      <alignment horizontal="left" vertical="center" wrapText="1" indent="1"/>
      <protection locked="0"/>
    </xf>
    <xf numFmtId="0" fontId="14" fillId="3" borderId="17" xfId="0" applyFont="1" applyFill="1" applyBorder="1" applyAlignment="1" applyProtection="1">
      <alignment horizontal="left" vertical="center" wrapText="1" indent="1"/>
      <protection locked="0"/>
    </xf>
    <xf numFmtId="0" fontId="14" fillId="3" borderId="46" xfId="0" applyFont="1" applyFill="1" applyBorder="1" applyAlignment="1" applyProtection="1">
      <alignment horizontal="left" vertical="center" wrapText="1" indent="1"/>
      <protection locked="0"/>
    </xf>
    <xf numFmtId="0" fontId="14" fillId="3" borderId="18" xfId="0" applyFont="1" applyFill="1" applyBorder="1" applyAlignment="1" applyProtection="1">
      <alignment horizontal="left" vertical="center" wrapText="1" indent="1"/>
      <protection locked="0"/>
    </xf>
    <xf numFmtId="0" fontId="11" fillId="11" borderId="17" xfId="4" applyFont="1" applyFill="1" applyBorder="1" applyAlignment="1" applyProtection="1">
      <alignment horizontal="left" vertical="center" indent="1"/>
      <protection hidden="1"/>
    </xf>
    <xf numFmtId="0" fontId="11" fillId="11" borderId="46" xfId="4" applyFont="1" applyFill="1" applyBorder="1" applyAlignment="1" applyProtection="1">
      <alignment horizontal="left" vertical="center" indent="1"/>
      <protection hidden="1"/>
    </xf>
    <xf numFmtId="0" fontId="14" fillId="3" borderId="46" xfId="4" applyFill="1" applyBorder="1" applyAlignment="1" applyProtection="1">
      <alignment horizontal="left" indent="1"/>
      <protection locked="0"/>
    </xf>
    <xf numFmtId="0" fontId="14" fillId="3" borderId="107" xfId="4" applyFill="1" applyBorder="1" applyAlignment="1" applyProtection="1">
      <alignment horizontal="left" indent="1"/>
      <protection locked="0"/>
    </xf>
    <xf numFmtId="0" fontId="8" fillId="2" borderId="43" xfId="0" applyFont="1" applyFill="1" applyBorder="1" applyAlignment="1" applyProtection="1">
      <alignment horizontal="center" vertical="center" wrapText="1"/>
      <protection hidden="1"/>
    </xf>
    <xf numFmtId="0" fontId="33" fillId="0" borderId="77" xfId="5" applyBorder="1" applyAlignment="1">
      <alignment horizontal="left" vertical="top" wrapText="1"/>
    </xf>
    <xf numFmtId="0" fontId="33" fillId="0" borderId="84" xfId="5" applyBorder="1" applyAlignment="1">
      <alignment horizontal="left" vertical="top" wrapText="1"/>
    </xf>
    <xf numFmtId="0" fontId="33" fillId="0" borderId="85" xfId="5" applyBorder="1" applyAlignment="1">
      <alignment horizontal="left" vertical="top" wrapText="1"/>
    </xf>
    <xf numFmtId="0" fontId="33" fillId="0" borderId="0" xfId="5" applyAlignment="1">
      <alignment horizontal="left" wrapText="1"/>
    </xf>
    <xf numFmtId="0" fontId="33" fillId="0" borderId="83" xfId="5" applyBorder="1" applyAlignment="1">
      <alignment horizontal="left" wrapText="1"/>
    </xf>
    <xf numFmtId="0" fontId="37" fillId="19" borderId="77" xfId="5" applyFont="1" applyFill="1" applyBorder="1" applyAlignment="1">
      <alignment horizontal="center" vertical="center" textRotation="90" wrapText="1"/>
    </xf>
    <xf numFmtId="0" fontId="36" fillId="19" borderId="84" xfId="5" applyFont="1" applyFill="1" applyBorder="1" applyAlignment="1">
      <alignment horizontal="center" vertical="center" textRotation="90" wrapText="1"/>
    </xf>
    <xf numFmtId="0" fontId="33" fillId="0" borderId="82" xfId="5" applyBorder="1" applyAlignment="1">
      <alignment horizontal="left" wrapText="1"/>
    </xf>
    <xf numFmtId="0" fontId="33" fillId="0" borderId="86" xfId="5" applyBorder="1" applyAlignment="1">
      <alignment horizontal="left" wrapText="1"/>
    </xf>
    <xf numFmtId="0" fontId="33" fillId="0" borderId="87" xfId="5" applyBorder="1" applyAlignment="1">
      <alignment horizontal="left" wrapText="1"/>
    </xf>
    <xf numFmtId="0" fontId="33" fillId="0" borderId="74" xfId="5" applyBorder="1" applyAlignment="1">
      <alignment horizontal="left" wrapText="1"/>
    </xf>
    <xf numFmtId="0" fontId="33" fillId="0" borderId="75" xfId="5" applyBorder="1" applyAlignment="1">
      <alignment horizontal="left" wrapText="1"/>
    </xf>
    <xf numFmtId="0" fontId="33" fillId="0" borderId="76" xfId="5" applyBorder="1" applyAlignment="1">
      <alignment horizontal="left" wrapText="1"/>
    </xf>
    <xf numFmtId="0" fontId="34" fillId="19" borderId="74" xfId="5" applyFont="1" applyFill="1" applyBorder="1" applyAlignment="1">
      <alignment horizontal="center" vertical="top" wrapText="1"/>
    </xf>
    <xf numFmtId="0" fontId="34" fillId="19" borderId="75" xfId="5" applyFont="1" applyFill="1" applyBorder="1" applyAlignment="1">
      <alignment horizontal="center" vertical="top" wrapText="1"/>
    </xf>
    <xf numFmtId="0" fontId="34" fillId="19" borderId="76" xfId="5" applyFont="1" applyFill="1" applyBorder="1" applyAlignment="1">
      <alignment horizontal="center" vertical="top" wrapText="1"/>
    </xf>
    <xf numFmtId="0" fontId="36" fillId="19" borderId="78" xfId="5" applyFont="1" applyFill="1" applyBorder="1" applyAlignment="1">
      <alignment horizontal="left" vertical="top" wrapText="1"/>
    </xf>
    <xf numFmtId="0" fontId="36" fillId="19" borderId="79" xfId="5" applyFont="1" applyFill="1" applyBorder="1" applyAlignment="1">
      <alignment horizontal="left" vertical="top" wrapText="1"/>
    </xf>
    <xf numFmtId="0" fontId="36" fillId="19" borderId="85" xfId="5" applyFont="1" applyFill="1" applyBorder="1" applyAlignment="1">
      <alignment horizontal="center" vertical="center" textRotation="90" wrapText="1"/>
    </xf>
    <xf numFmtId="0" fontId="33" fillId="0" borderId="74" xfId="5" applyBorder="1" applyAlignment="1">
      <alignment horizontal="left" vertical="center" wrapText="1"/>
    </xf>
    <xf numFmtId="0" fontId="33" fillId="0" borderId="76" xfId="5" applyBorder="1" applyAlignment="1">
      <alignment horizontal="left" vertical="center" wrapText="1"/>
    </xf>
    <xf numFmtId="0" fontId="33" fillId="0" borderId="82" xfId="5" applyBorder="1" applyAlignment="1">
      <alignment horizontal="left" vertical="center" wrapText="1"/>
    </xf>
    <xf numFmtId="0" fontId="33" fillId="0" borderId="83" xfId="5" applyBorder="1" applyAlignment="1">
      <alignment horizontal="left" vertical="center" wrapText="1"/>
    </xf>
    <xf numFmtId="0" fontId="37" fillId="19" borderId="84" xfId="5" applyFont="1" applyFill="1" applyBorder="1" applyAlignment="1">
      <alignment horizontal="center" vertical="center" textRotation="90" wrapText="1"/>
    </xf>
    <xf numFmtId="0" fontId="36" fillId="19" borderId="77" xfId="5" applyFont="1" applyFill="1" applyBorder="1" applyAlignment="1">
      <alignment horizontal="left" vertical="top" wrapText="1" indent="1"/>
    </xf>
    <xf numFmtId="0" fontId="36" fillId="19" borderId="85" xfId="5" applyFont="1" applyFill="1" applyBorder="1" applyAlignment="1">
      <alignment horizontal="left" vertical="top" wrapText="1" indent="1"/>
    </xf>
    <xf numFmtId="0" fontId="37" fillId="19" borderId="78" xfId="5" applyFont="1" applyFill="1" applyBorder="1" applyAlignment="1">
      <alignment horizontal="left" vertical="top" wrapText="1"/>
    </xf>
    <xf numFmtId="0" fontId="36" fillId="19" borderId="81" xfId="5" applyFont="1" applyFill="1" applyBorder="1" applyAlignment="1">
      <alignment horizontal="left" vertical="top" wrapText="1"/>
    </xf>
    <xf numFmtId="0" fontId="36" fillId="19" borderId="78" xfId="5" applyFont="1" applyFill="1" applyBorder="1" applyAlignment="1">
      <alignment horizontal="left" vertical="top" wrapText="1" indent="9"/>
    </xf>
    <xf numFmtId="0" fontId="36" fillId="19" borderId="81" xfId="5" applyFont="1" applyFill="1" applyBorder="1" applyAlignment="1">
      <alignment horizontal="left" vertical="top" wrapText="1" indent="9"/>
    </xf>
    <xf numFmtId="0" fontId="36" fillId="19" borderId="79" xfId="5" applyFont="1" applyFill="1" applyBorder="1" applyAlignment="1">
      <alignment horizontal="left" vertical="top" wrapText="1" indent="9"/>
    </xf>
    <xf numFmtId="0" fontId="33" fillId="0" borderId="86" xfId="5" applyBorder="1" applyAlignment="1">
      <alignment horizontal="left" vertical="center" wrapText="1"/>
    </xf>
    <xf numFmtId="0" fontId="33" fillId="0" borderId="87" xfId="5" applyBorder="1" applyAlignment="1">
      <alignment horizontal="left" vertical="center" wrapText="1"/>
    </xf>
    <xf numFmtId="0" fontId="39" fillId="0" borderId="82" xfId="5" applyFont="1" applyBorder="1" applyAlignment="1">
      <alignment horizontal="right" vertical="top" wrapText="1" indent="1"/>
    </xf>
    <xf numFmtId="0" fontId="39" fillId="0" borderId="0" xfId="5" applyFont="1" applyAlignment="1">
      <alignment horizontal="right" vertical="top" wrapText="1" indent="1"/>
    </xf>
    <xf numFmtId="0" fontId="39" fillId="0" borderId="83" xfId="5" applyFont="1" applyBorder="1" applyAlignment="1">
      <alignment horizontal="right" vertical="top" wrapText="1" indent="1"/>
    </xf>
    <xf numFmtId="0" fontId="39" fillId="0" borderId="86" xfId="5" applyFont="1" applyBorder="1" applyAlignment="1">
      <alignment horizontal="right" vertical="top" wrapText="1" indent="1"/>
    </xf>
    <xf numFmtId="0" fontId="39" fillId="0" borderId="88" xfId="5" applyFont="1" applyBorder="1" applyAlignment="1">
      <alignment horizontal="right" vertical="top" wrapText="1" indent="1"/>
    </xf>
    <xf numFmtId="0" fontId="39" fillId="0" borderId="87" xfId="5" applyFont="1" applyBorder="1" applyAlignment="1">
      <alignment horizontal="right" vertical="top" wrapText="1" indent="1"/>
    </xf>
    <xf numFmtId="0" fontId="33" fillId="0" borderId="0" xfId="5" applyAlignment="1">
      <alignment horizontal="left" vertical="center" wrapText="1"/>
    </xf>
    <xf numFmtId="0" fontId="33" fillId="0" borderId="88" xfId="5" applyBorder="1" applyAlignment="1">
      <alignment horizontal="left" vertical="center" wrapText="1"/>
    </xf>
    <xf numFmtId="0" fontId="33" fillId="0" borderId="83" xfId="5" applyBorder="1" applyAlignment="1">
      <alignment horizontal="left" vertical="top" wrapText="1"/>
    </xf>
    <xf numFmtId="0" fontId="33" fillId="0" borderId="78" xfId="5" applyBorder="1" applyAlignment="1">
      <alignment horizontal="left" wrapText="1"/>
    </xf>
    <xf numFmtId="0" fontId="33" fillId="0" borderId="81" xfId="5" applyBorder="1" applyAlignment="1">
      <alignment horizontal="left" wrapText="1"/>
    </xf>
    <xf numFmtId="0" fontId="39" fillId="0" borderId="82" xfId="5" applyFont="1" applyBorder="1" applyAlignment="1">
      <alignment horizontal="right" vertical="center" wrapText="1" indent="3"/>
    </xf>
    <xf numFmtId="0" fontId="39" fillId="0" borderId="0" xfId="5" applyFont="1" applyAlignment="1">
      <alignment horizontal="right" vertical="center" wrapText="1" indent="3"/>
    </xf>
    <xf numFmtId="0" fontId="39" fillId="0" borderId="83" xfId="5" applyFont="1" applyBorder="1" applyAlignment="1">
      <alignment horizontal="right" vertical="center" wrapText="1" indent="3"/>
    </xf>
    <xf numFmtId="0" fontId="39" fillId="0" borderId="86" xfId="5" applyFont="1" applyBorder="1" applyAlignment="1">
      <alignment horizontal="right" vertical="center" wrapText="1" indent="3"/>
    </xf>
    <xf numFmtId="0" fontId="39" fillId="0" borderId="88" xfId="5" applyFont="1" applyBorder="1" applyAlignment="1">
      <alignment horizontal="right" vertical="center" wrapText="1" indent="3"/>
    </xf>
    <xf numFmtId="0" fontId="39" fillId="0" borderId="87" xfId="5" applyFont="1" applyBorder="1" applyAlignment="1">
      <alignment horizontal="right" vertical="center" wrapText="1" indent="3"/>
    </xf>
    <xf numFmtId="0" fontId="33" fillId="0" borderId="82" xfId="5" applyBorder="1" applyAlignment="1">
      <alignment horizontal="left" vertical="top" wrapText="1"/>
    </xf>
    <xf numFmtId="0" fontId="33" fillId="0" borderId="0" xfId="5" applyAlignment="1">
      <alignment horizontal="left" vertical="top" wrapText="1"/>
    </xf>
    <xf numFmtId="0" fontId="33" fillId="0" borderId="86" xfId="5" applyBorder="1" applyAlignment="1">
      <alignment horizontal="left" vertical="top" wrapText="1"/>
    </xf>
    <xf numFmtId="0" fontId="33" fillId="0" borderId="88" xfId="5" applyBorder="1" applyAlignment="1">
      <alignment horizontal="left" vertical="top" wrapText="1"/>
    </xf>
    <xf numFmtId="0" fontId="33" fillId="0" borderId="87" xfId="5" applyBorder="1" applyAlignment="1">
      <alignment horizontal="left" vertical="top" wrapText="1"/>
    </xf>
    <xf numFmtId="0" fontId="36" fillId="19" borderId="77" xfId="5" applyFont="1" applyFill="1" applyBorder="1" applyAlignment="1">
      <alignment horizontal="center" vertical="center" textRotation="90" wrapText="1"/>
    </xf>
    <xf numFmtId="0" fontId="33" fillId="21" borderId="74" xfId="5" applyFill="1" applyBorder="1" applyAlignment="1">
      <alignment horizontal="left" vertical="center" wrapText="1"/>
    </xf>
    <xf numFmtId="0" fontId="33" fillId="21" borderId="76" xfId="5" applyFill="1" applyBorder="1" applyAlignment="1">
      <alignment horizontal="left" vertical="center" wrapText="1"/>
    </xf>
    <xf numFmtId="0" fontId="33" fillId="21" borderId="86" xfId="5" applyFill="1" applyBorder="1" applyAlignment="1">
      <alignment horizontal="left" vertical="center" wrapText="1"/>
    </xf>
    <xf numFmtId="0" fontId="33" fillId="21" borderId="87" xfId="5" applyFill="1" applyBorder="1" applyAlignment="1">
      <alignment horizontal="left" vertical="center" wrapText="1"/>
    </xf>
    <xf numFmtId="0" fontId="33" fillId="0" borderId="88" xfId="5" applyBorder="1" applyAlignment="1">
      <alignment horizontal="left" wrapText="1"/>
    </xf>
    <xf numFmtId="0" fontId="33" fillId="21" borderId="81" xfId="5" applyFill="1" applyBorder="1" applyAlignment="1">
      <alignment horizontal="left" wrapText="1"/>
    </xf>
    <xf numFmtId="0" fontId="40" fillId="0" borderId="74" xfId="5" applyFont="1" applyBorder="1" applyAlignment="1">
      <alignment horizontal="left" vertical="top" wrapText="1"/>
    </xf>
    <xf numFmtId="0" fontId="40" fillId="0" borderId="75" xfId="5" applyFont="1" applyBorder="1" applyAlignment="1">
      <alignment horizontal="left" vertical="top" wrapText="1"/>
    </xf>
    <xf numFmtId="0" fontId="40" fillId="0" borderId="82" xfId="5" applyFont="1" applyBorder="1" applyAlignment="1">
      <alignment horizontal="left" vertical="top" wrapText="1"/>
    </xf>
    <xf numFmtId="0" fontId="40" fillId="0" borderId="0" xfId="5" applyFont="1" applyAlignment="1">
      <alignment horizontal="left" vertical="top" wrapText="1"/>
    </xf>
    <xf numFmtId="0" fontId="40" fillId="0" borderId="86" xfId="5" applyFont="1" applyBorder="1" applyAlignment="1">
      <alignment horizontal="left" vertical="top" wrapText="1"/>
    </xf>
    <xf numFmtId="0" fontId="40" fillId="0" borderId="88" xfId="5" applyFont="1" applyBorder="1" applyAlignment="1">
      <alignment horizontal="left" vertical="top" wrapText="1"/>
    </xf>
    <xf numFmtId="0" fontId="0" fillId="0" borderId="53" xfId="0" applyBorder="1" applyAlignment="1">
      <alignment horizontal="center"/>
    </xf>
    <xf numFmtId="0" fontId="26" fillId="10" borderId="92" xfId="4" applyFont="1" applyFill="1" applyBorder="1" applyAlignment="1" applyProtection="1">
      <alignment horizontal="left" vertical="center" wrapText="1" indent="1"/>
      <protection locked="0"/>
    </xf>
    <xf numFmtId="0" fontId="26" fillId="10" borderId="93" xfId="4" applyFont="1" applyFill="1" applyBorder="1" applyAlignment="1" applyProtection="1">
      <alignment horizontal="left" vertical="center" wrapText="1" indent="1"/>
      <protection locked="0"/>
    </xf>
    <xf numFmtId="0" fontId="26" fillId="10" borderId="94" xfId="4" applyFont="1" applyFill="1" applyBorder="1" applyAlignment="1" applyProtection="1">
      <alignment horizontal="left" vertical="center" wrapText="1" indent="1"/>
      <protection locked="0"/>
    </xf>
    <xf numFmtId="0" fontId="26" fillId="10" borderId="71" xfId="4" applyFont="1" applyFill="1" applyBorder="1" applyAlignment="1" applyProtection="1">
      <alignment horizontal="left" vertical="center" wrapText="1" indent="1"/>
      <protection locked="0"/>
    </xf>
    <xf numFmtId="0" fontId="26" fillId="10" borderId="0" xfId="4" applyFont="1" applyFill="1" applyAlignment="1" applyProtection="1">
      <alignment horizontal="left" vertical="center" wrapText="1" indent="1"/>
      <protection locked="0"/>
    </xf>
    <xf numFmtId="0" fontId="26" fillId="10" borderId="96" xfId="4" applyFont="1" applyFill="1" applyBorder="1" applyAlignment="1" applyProtection="1">
      <alignment horizontal="left" vertical="center" wrapText="1" indent="1"/>
      <protection locked="0"/>
    </xf>
    <xf numFmtId="0" fontId="26" fillId="10" borderId="72" xfId="4" applyFont="1" applyFill="1" applyBorder="1" applyAlignment="1" applyProtection="1">
      <alignment horizontal="left" vertical="center" wrapText="1" indent="1"/>
      <protection locked="0"/>
    </xf>
    <xf numFmtId="0" fontId="26" fillId="10" borderId="73" xfId="4" applyFont="1" applyFill="1" applyBorder="1" applyAlignment="1" applyProtection="1">
      <alignment horizontal="left" vertical="center" wrapText="1" indent="1"/>
      <protection locked="0"/>
    </xf>
    <xf numFmtId="0" fontId="26" fillId="10" borderId="97" xfId="4" applyFont="1" applyFill="1" applyBorder="1" applyAlignment="1" applyProtection="1">
      <alignment horizontal="left" vertical="center" wrapText="1" indent="1"/>
      <protection locked="0"/>
    </xf>
    <xf numFmtId="0" fontId="26" fillId="10" borderId="67" xfId="4" applyFont="1" applyFill="1" applyBorder="1" applyAlignment="1" applyProtection="1">
      <alignment horizontal="left" vertical="center" indent="1"/>
      <protection locked="0"/>
    </xf>
    <xf numFmtId="0" fontId="26" fillId="10" borderId="67" xfId="4" applyFont="1" applyFill="1" applyBorder="1" applyAlignment="1" applyProtection="1">
      <alignment horizontal="left" vertical="center" wrapText="1" indent="1"/>
      <protection locked="0"/>
    </xf>
    <xf numFmtId="0" fontId="23" fillId="0" borderId="70" xfId="4" applyFont="1" applyBorder="1" applyAlignment="1" applyProtection="1">
      <alignment horizontal="left" indent="1"/>
      <protection locked="0"/>
    </xf>
    <xf numFmtId="0" fontId="25" fillId="0" borderId="99" xfId="4" applyFont="1" applyBorder="1" applyAlignment="1" applyProtection="1">
      <alignment horizontal="center"/>
      <protection locked="0"/>
    </xf>
    <xf numFmtId="0" fontId="25" fillId="0" borderId="66" xfId="4" applyFont="1" applyBorder="1" applyAlignment="1" applyProtection="1">
      <alignment horizontal="center"/>
      <protection locked="0"/>
    </xf>
    <xf numFmtId="0" fontId="25" fillId="0" borderId="65" xfId="4" applyFont="1" applyBorder="1" applyAlignment="1" applyProtection="1">
      <alignment horizontal="center"/>
      <protection locked="0"/>
    </xf>
    <xf numFmtId="0" fontId="25" fillId="0" borderId="68" xfId="4" applyFont="1" applyBorder="1" applyAlignment="1" applyProtection="1">
      <alignment horizontal="center"/>
      <protection locked="0"/>
    </xf>
    <xf numFmtId="0" fontId="25" fillId="0" borderId="67" xfId="4" applyFont="1" applyBorder="1" applyAlignment="1" applyProtection="1">
      <alignment horizontal="left" indent="1"/>
      <protection locked="0"/>
    </xf>
    <xf numFmtId="0" fontId="25" fillId="0" borderId="100" xfId="4" applyFont="1" applyBorder="1" applyAlignment="1" applyProtection="1">
      <alignment horizontal="left" indent="1"/>
      <protection locked="0"/>
    </xf>
    <xf numFmtId="0" fontId="26" fillId="10" borderId="91" xfId="4" applyFont="1" applyFill="1" applyBorder="1" applyAlignment="1" applyProtection="1">
      <alignment horizontal="left" vertical="center" wrapText="1" indent="1"/>
      <protection locked="0"/>
    </xf>
    <xf numFmtId="0" fontId="26" fillId="10" borderId="71" xfId="4" applyFont="1" applyFill="1" applyBorder="1" applyAlignment="1" applyProtection="1">
      <alignment horizontal="center" vertical="center" wrapText="1"/>
      <protection locked="0"/>
    </xf>
    <xf numFmtId="0" fontId="26" fillId="10" borderId="0" xfId="4" applyFont="1" applyFill="1" applyAlignment="1" applyProtection="1">
      <alignment horizontal="center" vertical="center" wrapText="1"/>
      <protection locked="0"/>
    </xf>
    <xf numFmtId="0" fontId="26" fillId="10" borderId="96" xfId="4" applyFont="1" applyFill="1" applyBorder="1" applyAlignment="1" applyProtection="1">
      <alignment horizontal="center" vertical="center" wrapText="1"/>
      <protection locked="0"/>
    </xf>
    <xf numFmtId="0" fontId="26" fillId="10" borderId="72" xfId="4" applyFont="1" applyFill="1" applyBorder="1" applyAlignment="1" applyProtection="1">
      <alignment horizontal="center" vertical="center" wrapText="1"/>
      <protection locked="0"/>
    </xf>
    <xf numFmtId="0" fontId="26" fillId="10" borderId="73" xfId="4" applyFont="1" applyFill="1" applyBorder="1" applyAlignment="1" applyProtection="1">
      <alignment horizontal="center" vertical="center" wrapText="1"/>
      <protection locked="0"/>
    </xf>
    <xf numFmtId="0" fontId="26" fillId="10" borderId="97" xfId="4" applyFont="1" applyFill="1" applyBorder="1" applyAlignment="1" applyProtection="1">
      <alignment horizontal="center" vertical="center" wrapText="1"/>
      <protection locked="0"/>
    </xf>
    <xf numFmtId="0" fontId="26" fillId="10" borderId="69" xfId="4" applyFont="1" applyFill="1" applyBorder="1" applyAlignment="1" applyProtection="1">
      <alignment horizontal="center" vertical="center" wrapText="1"/>
      <protection locked="0"/>
    </xf>
    <xf numFmtId="0" fontId="26" fillId="10" borderId="70" xfId="4" applyFont="1" applyFill="1" applyBorder="1" applyAlignment="1" applyProtection="1">
      <alignment horizontal="center" vertical="center" wrapText="1"/>
      <protection locked="0"/>
    </xf>
    <xf numFmtId="0" fontId="26" fillId="10" borderId="101" xfId="4" applyFont="1" applyFill="1" applyBorder="1" applyAlignment="1" applyProtection="1">
      <alignment horizontal="center" vertical="center" wrapText="1"/>
      <protection locked="0"/>
    </xf>
    <xf numFmtId="0" fontId="26" fillId="10" borderId="104" xfId="4" applyFont="1" applyFill="1" applyBorder="1" applyAlignment="1" applyProtection="1">
      <alignment horizontal="center" vertical="center" wrapText="1"/>
      <protection locked="0"/>
    </xf>
    <xf numFmtId="0" fontId="26" fillId="10" borderId="105" xfId="4" applyFont="1" applyFill="1" applyBorder="1" applyAlignment="1" applyProtection="1">
      <alignment horizontal="center" vertical="center" wrapText="1"/>
      <protection locked="0"/>
    </xf>
    <xf numFmtId="0" fontId="26" fillId="10" borderId="106" xfId="4" applyFont="1" applyFill="1" applyBorder="1" applyAlignment="1" applyProtection="1">
      <alignment horizontal="center" vertical="center" wrapText="1"/>
      <protection locked="0"/>
    </xf>
    <xf numFmtId="0" fontId="26" fillId="10" borderId="103" xfId="4" applyFont="1" applyFill="1" applyBorder="1" applyAlignment="1" applyProtection="1">
      <alignment horizontal="left" vertical="center" wrapText="1" indent="1"/>
      <protection locked="0"/>
    </xf>
    <xf numFmtId="0" fontId="11" fillId="11" borderId="15" xfId="0" applyFont="1" applyFill="1" applyBorder="1" applyAlignment="1">
      <alignment horizontal="left" vertical="center" wrapText="1" indent="1"/>
    </xf>
    <xf numFmtId="0" fontId="11" fillId="11" borderId="17" xfId="0" applyFont="1" applyFill="1" applyBorder="1" applyAlignment="1">
      <alignment horizontal="left" vertical="center" wrapText="1" indent="1"/>
    </xf>
    <xf numFmtId="9" fontId="0" fillId="3" borderId="114" xfId="0" applyNumberFormat="1" applyFill="1" applyBorder="1" applyAlignment="1" applyProtection="1">
      <alignment horizontal="center" vertical="center"/>
      <protection locked="0"/>
    </xf>
    <xf numFmtId="9" fontId="0" fillId="3" borderId="117" xfId="0" applyNumberFormat="1" applyFill="1" applyBorder="1" applyAlignment="1" applyProtection="1">
      <alignment horizontal="center" vertical="center"/>
      <protection locked="0"/>
    </xf>
    <xf numFmtId="9" fontId="0" fillId="3" borderId="112" xfId="0" applyNumberFormat="1" applyFill="1" applyBorder="1" applyAlignment="1" applyProtection="1">
      <alignment horizontal="center" vertical="center"/>
      <protection locked="0"/>
    </xf>
    <xf numFmtId="0" fontId="2" fillId="5" borderId="0" xfId="4" applyFont="1" applyFill="1" applyAlignment="1" applyProtection="1">
      <alignment horizontal="left" vertical="center" wrapText="1" indent="1"/>
      <protection hidden="1"/>
    </xf>
    <xf numFmtId="0" fontId="2" fillId="5" borderId="0" xfId="0" applyFont="1" applyFill="1" applyAlignment="1">
      <alignment horizontal="center" vertical="center"/>
    </xf>
    <xf numFmtId="0" fontId="55" fillId="5" borderId="0" xfId="0" quotePrefix="1" applyFont="1" applyFill="1" applyAlignment="1" applyProtection="1">
      <alignment horizontal="center" vertical="center" wrapText="1"/>
      <protection hidden="1"/>
    </xf>
    <xf numFmtId="0" fontId="88" fillId="5" borderId="0" xfId="0" quotePrefix="1" applyFont="1" applyFill="1" applyAlignment="1" applyProtection="1">
      <alignment horizontal="center" vertical="top" wrapText="1"/>
      <protection hidden="1"/>
    </xf>
    <xf numFmtId="0" fontId="4" fillId="5" borderId="0" xfId="0" quotePrefix="1" applyFont="1" applyFill="1" applyAlignment="1" applyProtection="1">
      <alignment horizontal="center" vertical="top" wrapText="1"/>
      <protection hidden="1"/>
    </xf>
    <xf numFmtId="0" fontId="18" fillId="0" borderId="21"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 fillId="5" borderId="0" xfId="0" quotePrefix="1" applyFont="1" applyFill="1" applyAlignment="1" applyProtection="1">
      <alignment horizontal="justify" vertical="center" wrapText="1"/>
      <protection hidden="1"/>
    </xf>
    <xf numFmtId="0" fontId="4" fillId="5" borderId="0" xfId="0" quotePrefix="1" applyFont="1" applyFill="1" applyAlignment="1" applyProtection="1">
      <alignment horizontal="center" vertical="center" wrapText="1"/>
      <protection hidden="1"/>
    </xf>
    <xf numFmtId="1" fontId="0" fillId="0" borderId="135" xfId="0" applyNumberFormat="1" applyBorder="1" applyAlignment="1">
      <alignment horizontal="center" vertical="center"/>
    </xf>
    <xf numFmtId="1" fontId="0" fillId="0" borderId="51" xfId="0" applyNumberFormat="1" applyBorder="1" applyAlignment="1">
      <alignment horizontal="center" vertical="center"/>
    </xf>
    <xf numFmtId="1" fontId="0" fillId="0" borderId="108" xfId="0" applyNumberFormat="1" applyBorder="1" applyAlignment="1">
      <alignment horizontal="center" vertical="center"/>
    </xf>
    <xf numFmtId="0" fontId="0" fillId="3" borderId="11"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3" borderId="46" xfId="0" applyFill="1" applyBorder="1" applyAlignment="1" applyProtection="1">
      <alignment horizontal="center" vertical="center"/>
      <protection locked="0"/>
    </xf>
    <xf numFmtId="0" fontId="0" fillId="3" borderId="18" xfId="0" applyFill="1" applyBorder="1" applyAlignment="1" applyProtection="1">
      <alignment horizontal="center" vertical="center"/>
      <protection locked="0"/>
    </xf>
    <xf numFmtId="0" fontId="0" fillId="3" borderId="45" xfId="0" applyFill="1" applyBorder="1" applyAlignment="1" applyProtection="1">
      <alignment horizontal="center" vertical="center"/>
      <protection locked="0"/>
    </xf>
    <xf numFmtId="0" fontId="0" fillId="3" borderId="14" xfId="0" applyFill="1" applyBorder="1" applyAlignment="1" applyProtection="1">
      <alignment horizontal="center" vertical="center"/>
      <protection locked="0"/>
    </xf>
    <xf numFmtId="0" fontId="1" fillId="0" borderId="32" xfId="0" applyFont="1" applyBorder="1" applyAlignment="1">
      <alignment horizontal="center" vertical="center" wrapText="1"/>
    </xf>
    <xf numFmtId="0" fontId="0" fillId="3" borderId="45" xfId="0" applyFill="1" applyBorder="1" applyAlignment="1" applyProtection="1">
      <alignment horizontal="center" vertical="center"/>
      <protection locked="0" hidden="1"/>
    </xf>
    <xf numFmtId="0" fontId="0" fillId="3" borderId="14" xfId="0" applyFill="1" applyBorder="1" applyAlignment="1" applyProtection="1">
      <alignment horizontal="center" vertical="center"/>
      <protection locked="0" hidden="1"/>
    </xf>
    <xf numFmtId="0" fontId="0" fillId="3" borderId="11" xfId="0" applyFill="1" applyBorder="1" applyAlignment="1" applyProtection="1">
      <alignment horizontal="center" vertical="center"/>
      <protection locked="0" hidden="1"/>
    </xf>
    <xf numFmtId="0" fontId="0" fillId="3" borderId="16" xfId="0" applyFill="1" applyBorder="1" applyAlignment="1" applyProtection="1">
      <alignment horizontal="center" vertical="center"/>
      <protection locked="0" hidden="1"/>
    </xf>
    <xf numFmtId="0" fontId="0" fillId="3" borderId="46" xfId="0" applyFill="1" applyBorder="1" applyAlignment="1" applyProtection="1">
      <alignment horizontal="center" vertical="center"/>
      <protection locked="0" hidden="1"/>
    </xf>
    <xf numFmtId="0" fontId="0" fillId="3" borderId="18" xfId="0" applyFill="1" applyBorder="1" applyAlignment="1" applyProtection="1">
      <alignment horizontal="center" vertical="center"/>
      <protection locked="0" hidden="1"/>
    </xf>
    <xf numFmtId="0" fontId="1" fillId="0" borderId="137" xfId="0" applyFont="1" applyBorder="1" applyAlignment="1">
      <alignment horizontal="center" vertical="center" wrapText="1"/>
    </xf>
    <xf numFmtId="0" fontId="1" fillId="0" borderId="5" xfId="0" applyFont="1" applyBorder="1" applyAlignment="1">
      <alignment horizontal="center" vertical="center" wrapText="1"/>
    </xf>
    <xf numFmtId="0" fontId="2" fillId="2" borderId="8" xfId="0" applyFont="1" applyFill="1" applyBorder="1" applyAlignment="1" applyProtection="1">
      <alignment horizontal="right" vertical="center"/>
      <protection hidden="1"/>
    </xf>
    <xf numFmtId="0" fontId="2" fillId="2" borderId="9" xfId="0" applyFont="1" applyFill="1" applyBorder="1" applyAlignment="1" applyProtection="1">
      <alignment horizontal="right" vertical="center"/>
      <protection hidden="1"/>
    </xf>
    <xf numFmtId="0" fontId="0" fillId="0" borderId="0" xfId="0" applyAlignment="1" applyProtection="1">
      <alignment horizontal="center"/>
      <protection locked="0"/>
    </xf>
    <xf numFmtId="0" fontId="2" fillId="5" borderId="0" xfId="0" quotePrefix="1" applyFont="1" applyFill="1" applyAlignment="1" applyProtection="1">
      <alignment horizontal="justify" vertical="top" wrapText="1"/>
      <protection hidden="1"/>
    </xf>
    <xf numFmtId="0" fontId="2" fillId="2" borderId="42" xfId="0" applyFont="1" applyFill="1" applyBorder="1" applyAlignment="1" applyProtection="1">
      <alignment horizontal="left" vertical="center" wrapText="1"/>
      <protection locked="0"/>
    </xf>
    <xf numFmtId="0" fontId="9" fillId="0" borderId="11" xfId="1" applyBorder="1" applyAlignment="1" applyProtection="1">
      <alignment horizontal="center" vertical="center"/>
      <protection hidden="1"/>
    </xf>
    <xf numFmtId="0" fontId="2" fillId="5" borderId="0" xfId="0" applyFont="1" applyFill="1" applyAlignment="1" applyProtection="1">
      <alignment vertical="center" wrapText="1"/>
      <protection hidden="1"/>
    </xf>
    <xf numFmtId="0" fontId="9" fillId="10" borderId="3" xfId="1" quotePrefix="1" applyFill="1" applyBorder="1" applyAlignment="1" applyProtection="1">
      <alignment horizontal="center" vertical="center" wrapText="1"/>
      <protection hidden="1"/>
    </xf>
    <xf numFmtId="0" fontId="9" fillId="10" borderId="4" xfId="1" quotePrefix="1" applyFill="1" applyBorder="1" applyAlignment="1" applyProtection="1">
      <alignment horizontal="center" vertical="center" wrapText="1"/>
      <protection hidden="1"/>
    </xf>
    <xf numFmtId="0" fontId="9" fillId="10" borderId="5" xfId="1" quotePrefix="1" applyFill="1" applyBorder="1" applyAlignment="1" applyProtection="1">
      <alignment horizontal="center" vertical="center" wrapText="1"/>
      <protection hidden="1"/>
    </xf>
    <xf numFmtId="0" fontId="9" fillId="10" borderId="6" xfId="1" quotePrefix="1" applyFill="1" applyBorder="1" applyAlignment="1" applyProtection="1">
      <alignment horizontal="center" vertical="center" wrapText="1"/>
      <protection hidden="1"/>
    </xf>
    <xf numFmtId="0" fontId="9" fillId="10" borderId="0" xfId="1" quotePrefix="1" applyFill="1" applyAlignment="1" applyProtection="1">
      <alignment horizontal="center" vertical="center" wrapText="1"/>
      <protection hidden="1"/>
    </xf>
    <xf numFmtId="0" fontId="9" fillId="10" borderId="7" xfId="1" quotePrefix="1" applyFill="1" applyBorder="1" applyAlignment="1" applyProtection="1">
      <alignment horizontal="center" vertical="center" wrapText="1"/>
      <protection hidden="1"/>
    </xf>
    <xf numFmtId="0" fontId="9" fillId="10" borderId="8" xfId="1" quotePrefix="1" applyFill="1" applyBorder="1" applyAlignment="1" applyProtection="1">
      <alignment horizontal="center" vertical="center" wrapText="1"/>
      <protection hidden="1"/>
    </xf>
    <xf numFmtId="0" fontId="9" fillId="10" borderId="9" xfId="1" quotePrefix="1" applyFill="1" applyBorder="1" applyAlignment="1" applyProtection="1">
      <alignment horizontal="center" vertical="center" wrapText="1"/>
      <protection hidden="1"/>
    </xf>
    <xf numFmtId="0" fontId="9" fillId="10" borderId="10" xfId="1" quotePrefix="1" applyFill="1" applyBorder="1" applyAlignment="1" applyProtection="1">
      <alignment horizontal="center" vertical="center" wrapText="1"/>
      <protection hidden="1"/>
    </xf>
    <xf numFmtId="0" fontId="18" fillId="10" borderId="3" xfId="0" quotePrefix="1" applyFont="1" applyFill="1" applyBorder="1" applyAlignment="1" applyProtection="1">
      <alignment horizontal="center" vertical="center" wrapText="1"/>
      <protection hidden="1"/>
    </xf>
    <xf numFmtId="0" fontId="18" fillId="10" borderId="4" xfId="0" quotePrefix="1" applyFont="1" applyFill="1" applyBorder="1" applyAlignment="1" applyProtection="1">
      <alignment horizontal="center" vertical="center" wrapText="1"/>
      <protection hidden="1"/>
    </xf>
    <xf numFmtId="0" fontId="18" fillId="10" borderId="5" xfId="0" quotePrefix="1" applyFont="1" applyFill="1" applyBorder="1" applyAlignment="1" applyProtection="1">
      <alignment horizontal="center" vertical="center" wrapText="1"/>
      <protection hidden="1"/>
    </xf>
    <xf numFmtId="0" fontId="18" fillId="10" borderId="6" xfId="0" quotePrefix="1" applyFont="1" applyFill="1" applyBorder="1" applyAlignment="1" applyProtection="1">
      <alignment horizontal="center" vertical="center" wrapText="1"/>
      <protection hidden="1"/>
    </xf>
    <xf numFmtId="0" fontId="18" fillId="10" borderId="0" xfId="0" quotePrefix="1" applyFont="1" applyFill="1" applyAlignment="1" applyProtection="1">
      <alignment horizontal="center" vertical="center" wrapText="1"/>
      <protection hidden="1"/>
    </xf>
    <xf numFmtId="0" fontId="18" fillId="10" borderId="7" xfId="0" quotePrefix="1" applyFont="1" applyFill="1" applyBorder="1" applyAlignment="1" applyProtection="1">
      <alignment horizontal="center" vertical="center" wrapText="1"/>
      <protection hidden="1"/>
    </xf>
    <xf numFmtId="0" fontId="18" fillId="10" borderId="8" xfId="0" quotePrefix="1" applyFont="1" applyFill="1" applyBorder="1" applyAlignment="1" applyProtection="1">
      <alignment horizontal="center" vertical="center" wrapText="1"/>
      <protection hidden="1"/>
    </xf>
    <xf numFmtId="0" fontId="18" fillId="10" borderId="9" xfId="0" quotePrefix="1" applyFont="1" applyFill="1" applyBorder="1" applyAlignment="1" applyProtection="1">
      <alignment horizontal="center" vertical="center" wrapText="1"/>
      <protection hidden="1"/>
    </xf>
    <xf numFmtId="0" fontId="18" fillId="10" borderId="10" xfId="0" quotePrefix="1" applyFont="1" applyFill="1" applyBorder="1" applyAlignment="1" applyProtection="1">
      <alignment horizontal="center" vertical="center" wrapText="1"/>
      <protection hidden="1"/>
    </xf>
    <xf numFmtId="0" fontId="7" fillId="2" borderId="8" xfId="0" applyFont="1" applyFill="1" applyBorder="1" applyAlignment="1" applyProtection="1">
      <alignment horizontal="right" vertical="center"/>
      <protection hidden="1"/>
    </xf>
    <xf numFmtId="0" fontId="7" fillId="2" borderId="9" xfId="0" applyFont="1" applyFill="1" applyBorder="1" applyAlignment="1" applyProtection="1">
      <alignment horizontal="right" vertical="center"/>
      <protection hidden="1"/>
    </xf>
    <xf numFmtId="0" fontId="2" fillId="5" borderId="3" xfId="0" quotePrefix="1" applyFont="1" applyFill="1" applyBorder="1" applyAlignment="1" applyProtection="1">
      <alignment horizontal="justify" vertical="center"/>
      <protection hidden="1"/>
    </xf>
    <xf numFmtId="0" fontId="2" fillId="5" borderId="5" xfId="0" quotePrefix="1" applyFont="1" applyFill="1" applyBorder="1" applyAlignment="1" applyProtection="1">
      <alignment horizontal="justify" vertical="center"/>
      <protection hidden="1"/>
    </xf>
    <xf numFmtId="0" fontId="2" fillId="5" borderId="6" xfId="0" quotePrefix="1" applyFont="1" applyFill="1" applyBorder="1" applyAlignment="1" applyProtection="1">
      <alignment horizontal="justify" vertical="center"/>
      <protection hidden="1"/>
    </xf>
    <xf numFmtId="0" fontId="2" fillId="5" borderId="7" xfId="0" quotePrefix="1" applyFont="1" applyFill="1" applyBorder="1" applyAlignment="1" applyProtection="1">
      <alignment horizontal="justify" vertical="center"/>
      <protection hidden="1"/>
    </xf>
    <xf numFmtId="0" fontId="2" fillId="5" borderId="8" xfId="0" quotePrefix="1" applyFont="1" applyFill="1" applyBorder="1" applyAlignment="1" applyProtection="1">
      <alignment horizontal="justify" vertical="center"/>
      <protection hidden="1"/>
    </xf>
    <xf numFmtId="0" fontId="2" fillId="5" borderId="10" xfId="0" quotePrefix="1" applyFont="1" applyFill="1" applyBorder="1" applyAlignment="1" applyProtection="1">
      <alignment horizontal="justify" vertical="center"/>
      <protection hidden="1"/>
    </xf>
    <xf numFmtId="2" fontId="68" fillId="2" borderId="5" xfId="0" applyNumberFormat="1" applyFont="1" applyFill="1" applyBorder="1" applyAlignment="1" applyProtection="1">
      <alignment horizontal="center" vertical="center" wrapText="1"/>
      <protection hidden="1"/>
    </xf>
    <xf numFmtId="2" fontId="68" fillId="2" borderId="10" xfId="0" applyNumberFormat="1" applyFont="1" applyFill="1" applyBorder="1" applyAlignment="1" applyProtection="1">
      <alignment horizontal="center" vertical="center" wrapText="1"/>
      <protection hidden="1"/>
    </xf>
    <xf numFmtId="0" fontId="7" fillId="2" borderId="0" xfId="0" applyFont="1" applyFill="1" applyAlignment="1" applyProtection="1">
      <alignment horizontal="left" vertical="center"/>
      <protection locked="0"/>
    </xf>
    <xf numFmtId="0" fontId="18" fillId="0" borderId="44" xfId="0" applyFont="1" applyBorder="1" applyAlignment="1" applyProtection="1">
      <alignment horizontal="center" vertical="center" wrapText="1"/>
      <protection locked="0"/>
    </xf>
    <xf numFmtId="0" fontId="1" fillId="2" borderId="8" xfId="0" applyFont="1" applyFill="1" applyBorder="1" applyAlignment="1">
      <alignment horizontal="right" vertical="center"/>
    </xf>
    <xf numFmtId="0" fontId="1" fillId="2" borderId="9" xfId="0" applyFont="1" applyFill="1" applyBorder="1" applyAlignment="1">
      <alignment horizontal="right" vertical="center"/>
    </xf>
    <xf numFmtId="0" fontId="2" fillId="5" borderId="0" xfId="0" applyFont="1" applyFill="1" applyAlignment="1">
      <alignment horizontal="left" vertical="center" wrapText="1" indent="1"/>
    </xf>
    <xf numFmtId="0" fontId="7" fillId="0" borderId="1" xfId="0" applyFont="1" applyBorder="1" applyAlignment="1">
      <alignment horizontal="right" vertical="center" wrapText="1"/>
    </xf>
    <xf numFmtId="0" fontId="7" fillId="0" borderId="19" xfId="0" applyFont="1" applyBorder="1" applyAlignment="1">
      <alignment horizontal="right" vertical="center" wrapText="1"/>
    </xf>
    <xf numFmtId="0" fontId="7" fillId="0" borderId="43" xfId="0" applyFont="1" applyBorder="1" applyAlignment="1">
      <alignment horizontal="right" vertical="center" wrapText="1"/>
    </xf>
    <xf numFmtId="0" fontId="2" fillId="5" borderId="0" xfId="0" quotePrefix="1" applyFont="1" applyFill="1" applyAlignment="1">
      <alignment horizontal="center" vertical="center" wrapText="1"/>
    </xf>
    <xf numFmtId="0" fontId="2" fillId="5" borderId="0" xfId="4" applyFont="1" applyFill="1" applyAlignment="1">
      <alignment horizontal="left" vertical="center" wrapText="1" indent="1"/>
    </xf>
    <xf numFmtId="0" fontId="2" fillId="2" borderId="1" xfId="0" applyFont="1" applyFill="1" applyBorder="1" applyAlignment="1">
      <alignment horizontal="left" vertical="center" wrapText="1" indent="1"/>
    </xf>
    <xf numFmtId="0" fontId="2" fillId="2" borderId="19"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5" borderId="0" xfId="0" applyFont="1" applyFill="1" applyAlignment="1">
      <alignment horizontal="left" vertical="center" indent="1"/>
    </xf>
    <xf numFmtId="0" fontId="0" fillId="3" borderId="138" xfId="0" applyFill="1" applyBorder="1" applyAlignment="1" applyProtection="1">
      <alignment horizontal="center"/>
      <protection locked="0"/>
    </xf>
    <xf numFmtId="0" fontId="0" fillId="3" borderId="143" xfId="0" applyFill="1" applyBorder="1" applyAlignment="1" applyProtection="1">
      <alignment horizontal="center"/>
      <protection locked="0"/>
    </xf>
    <xf numFmtId="0" fontId="0" fillId="3" borderId="139" xfId="0" applyFill="1" applyBorder="1" applyAlignment="1" applyProtection="1">
      <alignment horizontal="center"/>
      <protection locked="0"/>
    </xf>
    <xf numFmtId="0" fontId="0" fillId="3" borderId="148" xfId="0" applyFill="1" applyBorder="1" applyAlignment="1" applyProtection="1">
      <alignment horizontal="center"/>
      <protection locked="0"/>
    </xf>
    <xf numFmtId="0" fontId="0" fillId="3" borderId="146" xfId="0" applyFill="1" applyBorder="1" applyAlignment="1" applyProtection="1">
      <alignment horizontal="center"/>
      <protection locked="0"/>
    </xf>
    <xf numFmtId="0" fontId="0" fillId="3" borderId="142" xfId="0" applyFill="1" applyBorder="1" applyAlignment="1" applyProtection="1">
      <alignment horizontal="center"/>
      <protection locked="0"/>
    </xf>
    <xf numFmtId="0" fontId="8" fillId="5" borderId="0" xfId="0" applyFont="1" applyFill="1" applyAlignment="1">
      <alignment horizontal="left" vertical="center"/>
    </xf>
    <xf numFmtId="0" fontId="22" fillId="2" borderId="1" xfId="0" applyFont="1" applyFill="1" applyBorder="1" applyAlignment="1">
      <alignment horizontal="left" vertical="center" wrapText="1" indent="1"/>
    </xf>
    <xf numFmtId="0" fontId="22" fillId="2" borderId="19" xfId="0" applyFont="1" applyFill="1" applyBorder="1" applyAlignment="1">
      <alignment horizontal="left" vertical="center" wrapText="1" indent="1"/>
    </xf>
    <xf numFmtId="0" fontId="22" fillId="2" borderId="2" xfId="0" applyFont="1" applyFill="1" applyBorder="1" applyAlignment="1">
      <alignment horizontal="left" vertical="center" wrapText="1" indent="1"/>
    </xf>
    <xf numFmtId="0" fontId="18" fillId="0" borderId="21" xfId="0" applyFont="1" applyBorder="1" applyAlignment="1" applyProtection="1">
      <alignment horizontal="center" vertical="center"/>
      <protection locked="0"/>
    </xf>
    <xf numFmtId="0" fontId="18" fillId="0" borderId="44"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8" fillId="24" borderId="6" xfId="0" applyFont="1" applyFill="1" applyBorder="1" applyAlignment="1" applyProtection="1">
      <alignment horizontal="center"/>
      <protection locked="0"/>
    </xf>
    <xf numFmtId="0" fontId="8" fillId="24" borderId="0" xfId="0" applyFont="1" applyFill="1" applyAlignment="1" applyProtection="1">
      <alignment horizontal="center"/>
      <protection locked="0"/>
    </xf>
    <xf numFmtId="0" fontId="2" fillId="5" borderId="0" xfId="0" quotePrefix="1" applyFont="1" applyFill="1" applyAlignment="1">
      <alignment vertical="center"/>
    </xf>
    <xf numFmtId="0" fontId="2" fillId="5" borderId="0" xfId="0" quotePrefix="1" applyFont="1" applyFill="1" applyAlignment="1" applyProtection="1">
      <alignment vertical="center"/>
      <protection locked="0"/>
    </xf>
    <xf numFmtId="0" fontId="0" fillId="0" borderId="0" xfId="0" applyAlignment="1" applyProtection="1">
      <alignment vertical="center"/>
      <protection locked="0"/>
    </xf>
    <xf numFmtId="0" fontId="0" fillId="0" borderId="9" xfId="0" applyBorder="1" applyAlignment="1" applyProtection="1">
      <alignment horizontal="center" vertical="center"/>
      <protection locked="0"/>
    </xf>
    <xf numFmtId="0" fontId="2" fillId="2" borderId="4"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19" xfId="0" applyFont="1" applyFill="1" applyBorder="1" applyAlignment="1" applyProtection="1">
      <alignment horizontal="center" vertical="center" wrapText="1"/>
      <protection hidden="1"/>
    </xf>
    <xf numFmtId="0" fontId="2" fillId="2" borderId="19" xfId="0" applyFont="1" applyFill="1" applyBorder="1" applyAlignment="1" applyProtection="1">
      <alignment horizontal="center" vertical="center" wrapText="1"/>
      <protection hidden="1"/>
    </xf>
    <xf numFmtId="0" fontId="8" fillId="24" borderId="120" xfId="0" applyFont="1" applyFill="1" applyBorder="1" applyAlignment="1" applyProtection="1">
      <alignment horizontal="center"/>
      <protection locked="0"/>
    </xf>
    <xf numFmtId="0" fontId="8" fillId="24" borderId="53" xfId="0" applyFont="1" applyFill="1" applyBorder="1" applyAlignment="1" applyProtection="1">
      <alignment horizontal="center"/>
      <protection locked="0"/>
    </xf>
    <xf numFmtId="0" fontId="2" fillId="5" borderId="0" xfId="0" quotePrefix="1" applyFont="1" applyFill="1" applyAlignment="1">
      <alignment horizontal="left" vertical="center" wrapText="1"/>
    </xf>
    <xf numFmtId="0" fontId="2" fillId="5" borderId="0" xfId="0" quotePrefix="1" applyFont="1" applyFill="1" applyAlignment="1">
      <alignment horizontal="left" vertical="center"/>
    </xf>
    <xf numFmtId="0" fontId="2" fillId="2" borderId="4" xfId="0" applyFont="1" applyFill="1" applyBorder="1" applyAlignment="1" applyProtection="1">
      <alignment horizontal="center" vertical="center" wrapText="1"/>
      <protection hidden="1"/>
    </xf>
    <xf numFmtId="0" fontId="2" fillId="2" borderId="0" xfId="0" applyFont="1" applyFill="1" applyAlignment="1" applyProtection="1">
      <alignment horizontal="center" vertical="center" wrapText="1"/>
      <protection hidden="1"/>
    </xf>
    <xf numFmtId="0" fontId="2" fillId="2" borderId="119" xfId="0" applyFont="1" applyFill="1" applyBorder="1" applyAlignment="1" applyProtection="1">
      <alignment horizontal="center" wrapText="1"/>
      <protection hidden="1"/>
    </xf>
    <xf numFmtId="0" fontId="2" fillId="2" borderId="19" xfId="0" applyFont="1" applyFill="1" applyBorder="1" applyAlignment="1" applyProtection="1">
      <alignment horizontal="center" wrapText="1"/>
      <protection hidden="1"/>
    </xf>
    <xf numFmtId="0" fontId="2" fillId="14" borderId="118" xfId="0" applyFont="1" applyFill="1" applyBorder="1" applyAlignment="1" applyProtection="1">
      <alignment horizontal="left" vertical="center" wrapText="1"/>
      <protection hidden="1"/>
    </xf>
    <xf numFmtId="1" fontId="0" fillId="0" borderId="19" xfId="0" applyNumberFormat="1" applyBorder="1" applyAlignment="1" applyProtection="1">
      <alignment horizontal="center" vertical="center"/>
      <protection hidden="1"/>
    </xf>
    <xf numFmtId="1" fontId="0" fillId="0" borderId="2" xfId="0" applyNumberForma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2" xfId="0" applyBorder="1" applyAlignment="1" applyProtection="1">
      <alignment horizontal="center" vertical="center"/>
      <protection hidden="1"/>
    </xf>
    <xf numFmtId="165" fontId="0" fillId="0" borderId="19" xfId="0" applyNumberFormat="1" applyBorder="1" applyAlignment="1" applyProtection="1">
      <alignment horizontal="center" vertical="center"/>
      <protection hidden="1"/>
    </xf>
    <xf numFmtId="165" fontId="0" fillId="0" borderId="2" xfId="0" applyNumberFormat="1" applyBorder="1" applyAlignment="1" applyProtection="1">
      <alignment horizontal="center" vertical="center"/>
      <protection hidden="1"/>
    </xf>
    <xf numFmtId="0" fontId="2" fillId="2" borderId="4" xfId="0" applyFont="1" applyFill="1" applyBorder="1" applyAlignment="1" applyProtection="1">
      <alignment horizontal="left" vertical="center" wrapText="1"/>
      <protection hidden="1"/>
    </xf>
    <xf numFmtId="0" fontId="2" fillId="2" borderId="0" xfId="0" applyFont="1" applyFill="1" applyAlignment="1" applyProtection="1">
      <alignment horizontal="left" vertical="center" wrapText="1"/>
      <protection hidden="1"/>
    </xf>
    <xf numFmtId="0" fontId="2" fillId="2" borderId="153" xfId="0" applyFont="1" applyFill="1" applyBorder="1" applyAlignment="1" applyProtection="1">
      <alignment horizontal="center" wrapText="1"/>
      <protection hidden="1"/>
    </xf>
    <xf numFmtId="0" fontId="2" fillId="2" borderId="9" xfId="0" applyFont="1" applyFill="1" applyBorder="1" applyAlignment="1" applyProtection="1">
      <alignment horizontal="center" wrapText="1"/>
      <protection hidden="1"/>
    </xf>
    <xf numFmtId="0" fontId="2" fillId="5" borderId="0" xfId="0" quotePrefix="1" applyFont="1" applyFill="1" applyAlignment="1">
      <alignment vertical="center" wrapText="1"/>
    </xf>
    <xf numFmtId="0" fontId="2" fillId="2" borderId="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left" vertical="center" wrapText="1"/>
    </xf>
    <xf numFmtId="0" fontId="2" fillId="26" borderId="0" xfId="0" applyFont="1" applyFill="1" applyAlignment="1">
      <alignment horizontal="left" vertical="top" wrapText="1"/>
    </xf>
    <xf numFmtId="0" fontId="2" fillId="5" borderId="0" xfId="4" applyFont="1" applyFill="1" applyAlignment="1">
      <alignment horizontal="left" vertical="center" wrapText="1"/>
    </xf>
    <xf numFmtId="0" fontId="1" fillId="0" borderId="4" xfId="0" applyFont="1" applyBorder="1" applyAlignment="1">
      <alignment horizontal="center" vertical="center" wrapText="1"/>
    </xf>
    <xf numFmtId="0" fontId="0" fillId="3" borderId="144" xfId="0" applyFill="1" applyBorder="1" applyAlignment="1" applyProtection="1">
      <alignment horizontal="left" vertical="center" indent="1"/>
      <protection locked="0"/>
    </xf>
    <xf numFmtId="0" fontId="0" fillId="3" borderId="36" xfId="0" applyFill="1" applyBorder="1" applyAlignment="1" applyProtection="1">
      <alignment horizontal="left" vertical="center" indent="1"/>
      <protection locked="0"/>
    </xf>
    <xf numFmtId="0" fontId="0" fillId="3" borderId="37" xfId="0" applyFill="1" applyBorder="1" applyAlignment="1" applyProtection="1">
      <alignment horizontal="left" vertical="center" indent="1"/>
      <protection locked="0"/>
    </xf>
    <xf numFmtId="0" fontId="0" fillId="3" borderId="145"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145" xfId="0" applyFill="1" applyBorder="1" applyAlignment="1" applyProtection="1">
      <alignment horizontal="left" vertical="center" indent="1"/>
      <protection locked="0"/>
    </xf>
    <xf numFmtId="0" fontId="0" fillId="3" borderId="147" xfId="0" applyFill="1" applyBorder="1" applyAlignment="1" applyProtection="1">
      <alignment horizontal="left" vertical="center" indent="1"/>
      <protection locked="0"/>
    </xf>
    <xf numFmtId="0" fontId="0" fillId="3" borderId="35" xfId="0" applyFill="1" applyBorder="1" applyAlignment="1" applyProtection="1">
      <alignment horizontal="left" vertical="center" indent="1"/>
      <protection locked="0"/>
    </xf>
    <xf numFmtId="0" fontId="0" fillId="3" borderId="133" xfId="0" applyFill="1" applyBorder="1" applyAlignment="1" applyProtection="1">
      <alignment horizontal="left" vertical="center" indent="1"/>
      <protection locked="0"/>
    </xf>
    <xf numFmtId="0" fontId="0" fillId="3" borderId="38" xfId="0" applyFill="1" applyBorder="1" applyAlignment="1" applyProtection="1">
      <alignment horizontal="left" vertical="center" indent="1"/>
      <protection locked="0"/>
    </xf>
    <xf numFmtId="0" fontId="0" fillId="3" borderId="134" xfId="0" applyFill="1" applyBorder="1" applyAlignment="1" applyProtection="1">
      <alignment horizontal="left" vertical="center" indent="1"/>
      <protection locked="0"/>
    </xf>
    <xf numFmtId="0" fontId="0" fillId="3" borderId="0" xfId="0" applyFill="1" applyAlignment="1">
      <alignment horizontal="left" vertical="center" wrapText="1"/>
    </xf>
    <xf numFmtId="0" fontId="0" fillId="7" borderId="0" xfId="0" applyFill="1" applyAlignment="1">
      <alignment horizontal="center"/>
    </xf>
    <xf numFmtId="0" fontId="0" fillId="29" borderId="0" xfId="0" applyFill="1" applyAlignment="1">
      <alignment horizontal="center"/>
    </xf>
    <xf numFmtId="0" fontId="0" fillId="30" borderId="0" xfId="0" applyFill="1" applyAlignment="1">
      <alignment horizontal="center"/>
    </xf>
    <xf numFmtId="0" fontId="0" fillId="9" borderId="0" xfId="0" applyFill="1" applyAlignment="1">
      <alignment horizontal="center"/>
    </xf>
    <xf numFmtId="0" fontId="0" fillId="0" borderId="0" xfId="0" applyAlignment="1"/>
    <xf numFmtId="0" fontId="0" fillId="11" borderId="3" xfId="0" applyFill="1" applyBorder="1" applyAlignment="1"/>
    <xf numFmtId="0" fontId="0" fillId="11" borderId="4" xfId="0" applyFill="1" applyBorder="1" applyAlignment="1"/>
    <xf numFmtId="0" fontId="0" fillId="11" borderId="5" xfId="0" applyFill="1" applyBorder="1" applyAlignment="1"/>
    <xf numFmtId="0" fontId="1" fillId="11" borderId="8" xfId="0" applyFont="1" applyFill="1" applyBorder="1" applyAlignment="1"/>
    <xf numFmtId="0" fontId="1" fillId="11" borderId="9" xfId="0" applyFont="1" applyFill="1" applyBorder="1" applyAlignment="1"/>
    <xf numFmtId="0" fontId="1" fillId="11" borderId="10" xfId="0" applyFont="1" applyFill="1" applyBorder="1" applyAlignment="1"/>
    <xf numFmtId="0" fontId="0" fillId="11" borderId="8" xfId="0" applyFill="1" applyBorder="1" applyAlignment="1"/>
    <xf numFmtId="0" fontId="0" fillId="11" borderId="9" xfId="0" applyFill="1" applyBorder="1" applyAlignment="1"/>
    <xf numFmtId="0" fontId="0" fillId="11" borderId="10" xfId="0" applyFill="1" applyBorder="1" applyAlignment="1"/>
    <xf numFmtId="0" fontId="14" fillId="0" borderId="0" xfId="0" applyFont="1" applyAlignment="1" applyProtection="1">
      <protection hidden="1"/>
    </xf>
    <xf numFmtId="0" fontId="11" fillId="0" borderId="0" xfId="4" applyFont="1" applyAlignment="1" applyProtection="1">
      <protection hidden="1"/>
    </xf>
    <xf numFmtId="0" fontId="0" fillId="0" borderId="0" xfId="0" applyAlignment="1" applyProtection="1">
      <protection locked="0"/>
    </xf>
    <xf numFmtId="0" fontId="0" fillId="10" borderId="0" xfId="0" applyFill="1" applyAlignment="1" applyProtection="1">
      <protection locked="0"/>
    </xf>
  </cellXfs>
  <cellStyles count="6">
    <cellStyle name="Hipervínculo" xfId="1" builtinId="8"/>
    <cellStyle name="Millares [0]" xfId="3" builtinId="6"/>
    <cellStyle name="Normal" xfId="0" builtinId="0"/>
    <cellStyle name="Normal 2 2" xfId="4" xr:uid="{605AFF14-18A9-47DC-B3BE-9BDBDB646468}"/>
    <cellStyle name="Normal 6" xfId="5" xr:uid="{690AB870-7609-45C3-9DFC-DB06E404B810}"/>
    <cellStyle name="Porcentaje" xfId="2" builtinId="5"/>
  </cellStyles>
  <dxfs count="363">
    <dxf>
      <alignment horizontal="center" vertical="center" textRotation="0" wrapText="0" indent="0" justifyLastLine="0" shrinkToFit="0" readingOrder="0"/>
      <border diagonalUp="0" diagonalDown="0">
        <left style="thin">
          <color rgb="FFFF7C80"/>
        </left>
        <right style="thin">
          <color rgb="FFFF7C80"/>
        </right>
        <top style="thin">
          <color rgb="FFFF7C80"/>
        </top>
        <bottom style="thin">
          <color rgb="FFFF7C80"/>
        </bottom>
      </border>
    </dxf>
    <dxf>
      <numFmt numFmtId="19" formatCode="dd/mm/yyyy"/>
      <alignment horizontal="center" vertical="center" textRotation="0" wrapText="0" indent="0" justifyLastLine="0" shrinkToFit="0" readingOrder="0"/>
    </dxf>
    <dxf>
      <alignment horizontal="center" textRotation="0" indent="0" justifyLastLine="0" shrinkToFit="0" readingOrder="0"/>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border outline="0">
        <bottom style="thin">
          <color rgb="FFFF7C80"/>
        </bottom>
      </border>
    </dxf>
    <dxf>
      <alignment horizontal="center" textRotation="0" indent="0" justifyLastLine="0" shrinkToFit="0" readingOrder="0"/>
    </dxf>
    <dxf>
      <font>
        <b/>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rgb="FFFF7C80"/>
        </left>
        <right style="medium">
          <color rgb="FFFF7C80"/>
        </right>
        <top/>
        <bottom/>
      </border>
    </dxf>
    <dxf>
      <numFmt numFmtId="0" formatCode="General"/>
      <alignment horizontal="center" textRotation="0" indent="0" justifyLastLine="0" shrinkToFit="0" readingOrder="0"/>
    </dxf>
    <dxf>
      <border outline="0">
        <top style="medium">
          <color rgb="FFFF7C80"/>
        </top>
      </border>
    </dxf>
    <dxf>
      <alignment horizontal="center" textRotation="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left" vertical="center" textRotation="0" wrapText="1" indent="0" justifyLastLine="0" shrinkToFit="0" readingOrder="0"/>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border outline="0">
        <top style="medium">
          <color rgb="FFFF7C80"/>
        </top>
        <bottom style="thin">
          <color rgb="FFFF7C80"/>
        </bottom>
      </border>
    </dxf>
    <dxf>
      <alignment horizontal="center" vertical="center" textRotation="0" wrapText="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left" vertical="center" textRotation="0" wrapText="1" indent="0" justifyLastLine="0" shrinkToFit="0" readingOrder="0"/>
    </dxf>
    <dxf>
      <numFmt numFmtId="0" formatCode="General"/>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medium">
          <color rgb="FFFF7C80"/>
        </left>
        <right style="thin">
          <color rgb="FFFF7C80"/>
        </right>
        <top style="thin">
          <color rgb="FFFF7C80"/>
        </top>
        <bottom style="thin">
          <color rgb="FFFF7C80"/>
        </bottom>
        <vertical/>
        <horizontal/>
      </border>
    </dxf>
    <dxf>
      <border outline="0">
        <bottom style="medium">
          <color rgb="FFFF7C80"/>
        </bottom>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dxf>
    <dxf>
      <alignment horizontal="center" vertical="bottom" textRotation="0" wrapText="0" indent="0" justifyLastLine="0" shrinkToFit="0" readingOrder="0"/>
    </dxf>
    <dxf>
      <alignment horizontal="center" textRotation="0" wrapText="0" indent="0" justifyLastLine="0" shrinkToFit="0" readingOrder="0"/>
      <border diagonalUp="0" diagonalDown="0" outline="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top style="thin">
          <color rgb="FFFF7C80"/>
        </top>
        <bottom style="thin">
          <color rgb="FFFF7C80"/>
        </bottom>
      </border>
    </dxf>
    <dxf>
      <fill>
        <patternFill patternType="solid">
          <fgColor theme="4" tint="0.79998168889431442"/>
          <bgColor theme="4" tint="0.79998168889431442"/>
        </patternFill>
      </fill>
      <border diagonalUp="0" diagonalDown="0">
        <left style="medium">
          <color rgb="FFFF7C80"/>
        </left>
        <right style="thin">
          <color rgb="FFFF7C80"/>
        </right>
        <top style="thin">
          <color rgb="FFFF7C80"/>
        </top>
        <bottom style="thin">
          <color rgb="FFFF7C80"/>
        </bottom>
        <vertical/>
        <horizontal/>
      </border>
    </dxf>
    <dxf>
      <border outline="0">
        <top style="thin">
          <color rgb="FFFF7C80"/>
        </top>
      </border>
    </dxf>
    <dxf>
      <border outline="0">
        <bottom style="thin">
          <color rgb="FFFF7C80"/>
        </bottom>
      </border>
    </dxf>
    <dxf>
      <border outline="0">
        <left style="medium">
          <color rgb="FFFF7C80"/>
        </left>
        <right style="medium">
          <color rgb="FFFF7C80"/>
        </right>
        <top style="medium">
          <color rgb="FFFF7C80"/>
        </top>
        <bottom style="medium">
          <color rgb="FFFF7C80"/>
        </bottom>
      </border>
    </dxf>
    <dxf>
      <font>
        <b val="0"/>
        <i val="0"/>
        <strike val="0"/>
        <condense val="0"/>
        <extend val="0"/>
        <outline val="0"/>
        <shadow val="0"/>
        <u val="none"/>
        <vertAlign val="baseline"/>
        <sz val="11"/>
        <color theme="1"/>
        <name val="Calibri"/>
        <family val="2"/>
        <scheme val="minor"/>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alignment horizontal="general" vertical="center" textRotation="0" indent="0" justifyLastLine="0" shrinkToFit="0" readingOrder="0"/>
    </dxf>
    <dxf>
      <alignment horizontal="center" vertical="center" textRotation="0" wrapText="0" indent="0" justifyLastLine="0" shrinkToFit="0" readingOrder="0"/>
    </dxf>
    <dxf>
      <numFmt numFmtId="0" formatCode="General"/>
      <alignment horizontal="general" vertical="center" textRotation="0" wrapText="1" indent="0" justifyLastLine="0" shrinkToFit="0" readingOrder="0"/>
    </dxf>
    <dxf>
      <alignment vertical="center" textRotation="0" wrapText="0" indent="0" justifyLastLine="0" shrinkToFit="0" readingOrder="0"/>
    </dxf>
    <dxf>
      <alignment vertical="center" textRotation="0" wrapText="0" indent="0" justifyLastLine="0" shrinkToFit="0" readingOrder="0"/>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E2EFDA"/>
        </patternFill>
      </fill>
    </dxf>
    <dxf>
      <fill>
        <patternFill>
          <bgColor them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rgb="FFFFC5C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bottom style="thin">
          <color indexed="64"/>
        </bottom>
      </border>
    </dxf>
    <dxf>
      <border outline="0">
        <left style="thin">
          <color indexed="64"/>
        </left>
        <right style="thin">
          <color indexed="64"/>
        </right>
        <top style="thin">
          <color indexed="64"/>
        </top>
        <bottom style="thin">
          <color indexed="64"/>
        </bottom>
      </border>
    </dxf>
    <dxf>
      <protection locked="0" hidden="0"/>
    </dxf>
    <dxf>
      <alignment horizontal="center" vertical="center" textRotation="0" wrapText="1" indent="0" justifyLastLine="0" shrinkToFit="0" readingOrder="0"/>
      <border diagonalUp="0" diagonalDown="0">
        <left style="thin">
          <color indexed="64"/>
        </left>
        <right style="thin">
          <color indexed="64"/>
        </right>
        <top/>
        <bottom/>
      </border>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protection locked="0" hidden="0"/>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bottom style="thin">
          <color indexed="64"/>
        </bottom>
      </border>
    </dxf>
    <dxf>
      <border outline="0">
        <left style="thin">
          <color indexed="64"/>
        </left>
        <right style="thin">
          <color indexed="64"/>
        </right>
        <top style="thin">
          <color indexed="64"/>
        </top>
        <bottom style="thin">
          <color indexed="64"/>
        </bottom>
      </border>
    </dxf>
    <dxf>
      <protection locked="0" hidden="0"/>
    </dxf>
    <dxf>
      <alignment horizontal="center" vertical="center" textRotation="0" wrapText="1" indent="0" justifyLastLine="0" shrinkToFit="0" readingOrder="0"/>
      <border diagonalUp="0" diagonalDown="0">
        <left style="thin">
          <color indexed="64"/>
        </left>
        <right style="thin">
          <color indexed="64"/>
        </right>
        <top/>
        <bottom/>
      </border>
      <protection locked="0" hidden="0"/>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bottom style="thin">
          <color indexed="64"/>
        </bottom>
      </border>
    </dxf>
    <dxf>
      <border outline="0">
        <left style="thin">
          <color indexed="64"/>
        </left>
        <right style="thin">
          <color indexed="64"/>
        </right>
        <top style="thin">
          <color indexed="64"/>
        </top>
        <bottom style="thin">
          <color indexed="64"/>
        </bottom>
      </border>
    </dxf>
    <dxf>
      <protection locked="0" hidden="0"/>
    </dxf>
    <dxf>
      <alignment horizontal="center" vertical="center" textRotation="0" wrapText="1" indent="0" justifyLastLine="0" shrinkToFit="0" readingOrder="0"/>
      <border diagonalUp="0" diagonalDown="0">
        <left style="thin">
          <color indexed="64"/>
        </left>
        <right style="thin">
          <color indexed="64"/>
        </right>
        <top/>
        <bottom/>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medium">
          <color rgb="FFFF7C80"/>
        </left>
        <right style="thin">
          <color indexed="64"/>
        </right>
        <top style="thin">
          <color indexed="64"/>
        </top>
        <bottom style="thin">
          <color indexed="64"/>
        </bottom>
        <vertical/>
        <horizontal/>
      </border>
      <protection locked="0" hidden="0"/>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border outline="0">
        <top style="thin">
          <color indexed="64"/>
        </top>
      </border>
    </dxf>
    <dxf>
      <border outline="0">
        <bottom style="thin">
          <color indexed="64"/>
        </bottom>
      </border>
    </dxf>
    <dxf>
      <border outline="0">
        <right style="thin">
          <color indexed="64"/>
        </right>
        <top style="thin">
          <color indexed="64"/>
        </top>
        <bottom style="thin">
          <color indexed="64"/>
        </bottom>
      </border>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protection locked="0" hidden="0"/>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ill>
        <patternFill>
          <bgColor theme="9" tint="0.79998168889431442"/>
        </patternFill>
      </fill>
    </dxf>
    <dxf>
      <fill>
        <patternFill>
          <bgColor rgb="FFFFCCCC"/>
        </patternFill>
      </fill>
    </dxf>
    <dxf>
      <fill>
        <patternFill>
          <bgColor rgb="FFFFCCCC"/>
        </patternFill>
      </fill>
    </dxf>
    <dxf>
      <fill>
        <patternFill>
          <bgColor theme="9" tint="0.79998168889431442"/>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theme="9" tint="0.79998168889431442"/>
        </patternFill>
      </fill>
    </dxf>
    <dxf>
      <fill>
        <patternFill>
          <bgColor rgb="FFFFCCCC"/>
        </patternFill>
      </fill>
    </dxf>
    <dxf>
      <fill>
        <patternFill>
          <bgColor theme="0" tint="-4.9989318521683403E-2"/>
        </patternFill>
      </fill>
    </dxf>
    <dxf>
      <fill>
        <patternFill>
          <bgColor theme="0"/>
        </patternFill>
      </fill>
    </dxf>
    <dxf>
      <fill>
        <patternFill>
          <bgColor theme="0"/>
        </patternFill>
      </fill>
    </dxf>
    <dxf>
      <fill>
        <patternFill>
          <bgColor rgb="FFFFCCCC"/>
        </patternFill>
      </fill>
    </dxf>
    <dxf>
      <fill>
        <patternFill>
          <bgColor theme="9" tint="0.79998168889431442"/>
        </patternFill>
      </fill>
    </dxf>
    <dxf>
      <fill>
        <patternFill>
          <bgColor theme="0" tint="-4.9989318521683403E-2"/>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patternFill>
      </fill>
    </dxf>
    <dxf>
      <fill>
        <patternFill>
          <bgColor rgb="FFFFCCCC"/>
        </patternFill>
      </fill>
    </dxf>
    <dxf>
      <fill>
        <patternFill>
          <bgColor theme="9" tint="0.79998168889431442"/>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theme="0" tint="-0.14996795556505021"/>
        </patternFill>
      </fill>
    </dxf>
    <dxf>
      <fill>
        <patternFill>
          <bgColor theme="0" tint="-0.14996795556505021"/>
        </patternFill>
      </fill>
    </dxf>
    <dxf>
      <fill>
        <patternFill>
          <bgColor theme="9" tint="0.79998168889431442"/>
        </patternFill>
      </fill>
    </dxf>
    <dxf>
      <fill>
        <patternFill>
          <bgColor rgb="FFFFCCCC"/>
        </patternFill>
      </fill>
    </dxf>
    <dxf>
      <fill>
        <patternFill>
          <bgColor rgb="FFFFCCCC"/>
        </patternFill>
      </fill>
    </dxf>
    <dxf>
      <fill>
        <patternFill>
          <bgColor rgb="FFFFD5D5"/>
        </patternFill>
      </fill>
    </dxf>
    <dxf>
      <fill>
        <patternFill>
          <bgColor rgb="FFFFD5D5"/>
        </patternFill>
      </fill>
    </dxf>
    <dxf>
      <fill>
        <patternFill>
          <bgColor theme="0" tint="-0.14996795556505021"/>
        </patternFill>
      </fill>
    </dxf>
    <dxf>
      <fill>
        <patternFill>
          <bgColor rgb="FFFFD5D5"/>
        </patternFill>
      </fill>
    </dxf>
    <dxf>
      <fill>
        <patternFill>
          <bgColor theme="0" tint="-0.14996795556505021"/>
        </patternFill>
      </fill>
    </dxf>
    <dxf>
      <fill>
        <patternFill>
          <bgColor rgb="FFFFD1D1"/>
        </patternFill>
      </fill>
    </dxf>
    <dxf>
      <fill>
        <patternFill>
          <bgColor rgb="FFFFCCCC"/>
        </patternFill>
      </fill>
    </dxf>
    <dxf>
      <fill>
        <patternFill>
          <bgColor rgb="FFFFD1D1"/>
        </patternFill>
      </fill>
    </dxf>
    <dxf>
      <fill>
        <patternFill>
          <bgColor theme="0" tint="-4.9989318521683403E-2"/>
        </patternFill>
      </fill>
    </dxf>
    <dxf>
      <fill>
        <patternFill>
          <bgColor theme="0" tint="-0.14996795556505021"/>
        </patternFill>
      </fill>
    </dxf>
    <dxf>
      <fill>
        <patternFill>
          <bgColor rgb="FFFFD5D5"/>
        </patternFill>
      </fill>
    </dxf>
    <dxf>
      <fill>
        <patternFill>
          <bgColor rgb="FFFFD1D1"/>
        </patternFill>
      </fill>
    </dxf>
    <dxf>
      <fill>
        <patternFill>
          <bgColor rgb="FFFFCCCC"/>
        </patternFill>
      </fill>
    </dxf>
    <dxf>
      <fill>
        <patternFill>
          <bgColor rgb="FFFFD5D5"/>
        </patternFill>
      </fill>
    </dxf>
    <dxf>
      <fill>
        <patternFill>
          <bgColor rgb="FFFFD1D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1"/>
      </font>
      <fill>
        <patternFill>
          <bgColor theme="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top style="thin">
          <color rgb="FFFF7C80"/>
        </top>
        <bottom style="thin">
          <color rgb="FFFF7C80"/>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rgb="FFFF7C80"/>
        </left>
        <right style="thin">
          <color rgb="FFFF7C80"/>
        </right>
        <top style="thin">
          <color rgb="FFFF7C80"/>
        </top>
        <bottom style="thin">
          <color rgb="FFFF7C80"/>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left/>
        <right style="thin">
          <color rgb="FFFF7C80"/>
        </right>
        <top style="thin">
          <color rgb="FFFF7C80"/>
        </top>
        <bottom style="thin">
          <color rgb="FFFF7C80"/>
        </bottom>
        <vertical/>
        <horizontal/>
      </border>
      <protection locked="0" hidden="0"/>
    </dxf>
    <dxf>
      <border>
        <top style="thin">
          <color rgb="FFFF7C80"/>
        </top>
      </border>
    </dxf>
    <dxf>
      <border>
        <bottom style="thin">
          <color rgb="FFFF7C80"/>
        </bottom>
      </border>
    </dxf>
    <dxf>
      <border outline="0">
        <right style="thin">
          <color rgb="FFFF7C80"/>
        </right>
        <top style="thin">
          <color rgb="FFFF7C80"/>
        </top>
        <bottom style="thin">
          <color rgb="FFFF7C80"/>
        </bottom>
      </border>
    </dxf>
    <dxf>
      <protection locked="0" hidden="0"/>
    </dxf>
    <dxf>
      <font>
        <strike val="0"/>
        <outline val="0"/>
        <shadow val="0"/>
        <u val="none"/>
        <vertAlign val="baseline"/>
        <sz val="10"/>
        <color auto="1"/>
        <name val="Arial"/>
        <family val="2"/>
        <scheme val="none"/>
      </font>
      <protection locked="1" hidden="1"/>
    </dxf>
    <dxf>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vertical/>
        <horizontal/>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top style="thin">
          <color rgb="FFFF7C80"/>
        </top>
        <bottom/>
        <vertical/>
        <horizontal/>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style="thin">
          <color rgb="FFFF7C80"/>
        </bottom>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style="thin">
          <color rgb="FFFF7C80"/>
        </bottom>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rgb="FFFF7C80"/>
        </left>
        <right style="thin">
          <color rgb="FFFF7C80"/>
        </right>
        <top style="thin">
          <color rgb="FFFF7C80"/>
        </top>
        <bottom style="thin">
          <color rgb="FFFF7C80"/>
        </bottom>
      </border>
      <protection locked="0" hidden="0"/>
    </dxf>
    <dxf>
      <fill>
        <patternFill patternType="solid">
          <fgColor indexed="64"/>
          <bgColor theme="0" tint="-0.14999847407452621"/>
        </patternFill>
      </fill>
      <alignment vertical="center" textRotation="0" indent="0" justifyLastLine="0" shrinkToFit="0" readingOrder="0"/>
      <border diagonalUp="0" diagonalDown="0">
        <left/>
        <right style="thin">
          <color rgb="FFFF7C80"/>
        </right>
        <top style="thin">
          <color rgb="FFFF7C80"/>
        </top>
        <bottom style="thin">
          <color rgb="FFFF7C80"/>
        </bottom>
      </border>
      <protection locked="0" hidden="0"/>
    </dxf>
    <dxf>
      <border>
        <top style="thin">
          <color rgb="FFFF7C80"/>
        </top>
      </border>
    </dxf>
    <dxf>
      <border>
        <bottom style="thin">
          <color rgb="FFFF7C80"/>
        </bottom>
      </border>
    </dxf>
    <dxf>
      <border diagonalUp="0" diagonalDown="0">
        <left style="thin">
          <color rgb="FFFF7C80"/>
        </left>
        <right style="thin">
          <color rgb="FFFF7C80"/>
        </right>
        <top style="thin">
          <color rgb="FFFF7C80"/>
        </top>
        <bottom style="thin">
          <color rgb="FFFF7C80"/>
        </bottom>
      </border>
    </dxf>
    <dxf>
      <fill>
        <patternFill patternType="solid">
          <fgColor indexed="64"/>
          <bgColor theme="0" tint="-0.14999847407452621"/>
        </patternFill>
      </fill>
      <protection locked="0" hidden="0"/>
    </dxf>
    <dxf>
      <font>
        <b val="0"/>
      </font>
      <fill>
        <patternFill patternType="solid">
          <fgColor indexed="64"/>
          <bgColor rgb="FFFF7C80"/>
        </patternFill>
      </fill>
      <alignment horizontal="center" vertical="bottom" textRotation="0" wrapText="0" indent="0" justifyLastLine="0" shrinkToFit="0" readingOrder="0"/>
      <protection locked="1" hidden="1"/>
    </dxf>
    <dxf>
      <fill>
        <patternFill>
          <bgColor theme="9" tint="0.79998168889431442"/>
        </patternFill>
      </fill>
    </dxf>
    <dxf>
      <fill>
        <patternFill>
          <bgColor rgb="FFFFD1D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4"/>
      </font>
      <fill>
        <patternFill>
          <fgColor theme="4" tint="0.59996337778862885"/>
          <bgColor theme="4" tint="0.79998168889431442"/>
        </patternFill>
      </fill>
    </dxf>
    <dxf>
      <font>
        <color rgb="FF9C5700"/>
      </font>
      <fill>
        <patternFill>
          <bgColor rgb="FFFFEB9C"/>
        </patternFill>
      </fill>
    </dxf>
    <dxf>
      <font>
        <color theme="4"/>
      </font>
      <fill>
        <patternFill>
          <fgColor theme="3"/>
          <bgColor theme="4"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strike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rgb="FFFF7C80"/>
        </left>
        <right/>
        <top style="thin">
          <color rgb="FFFF7C80"/>
        </top>
        <bottom style="thin">
          <color rgb="FFFF7C80"/>
        </bottom>
      </border>
      <protection locked="1" hidden="0"/>
    </dxf>
    <dxf>
      <font>
        <strike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strike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strike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style="thin">
          <color rgb="FFFF7C80"/>
        </bottom>
        <vertical/>
        <horizontal/>
      </border>
      <protection locked="0" hidden="0"/>
    </dxf>
    <dxf>
      <font>
        <strike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strike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outline="0">
        <left/>
        <right style="thin">
          <color rgb="FFFF7C80"/>
        </right>
        <top style="thin">
          <color rgb="FFFF7C80"/>
        </top>
        <bottom style="thin">
          <color rgb="FFFF7C80"/>
        </bottom>
      </border>
      <protection locked="0" hidden="0"/>
    </dxf>
    <dxf>
      <border>
        <bottom style="medium">
          <color rgb="FFFF7C80"/>
        </bottom>
      </border>
    </dxf>
    <dxf>
      <border outline="0">
        <top style="thin">
          <color rgb="FF000000"/>
        </top>
      </border>
    </dxf>
    <dxf>
      <font>
        <strike val="0"/>
        <outline val="0"/>
        <shadow val="0"/>
        <u val="none"/>
        <vertAlign val="baseline"/>
        <sz val="10"/>
        <color auto="1"/>
        <name val="Arial"/>
        <family val="2"/>
        <scheme val="none"/>
      </font>
      <alignment horizontal="general" textRotation="0" indent="0" justifyLastLine="0" shrinkToFit="0" readingOrder="0"/>
      <protection locked="0" hidden="0"/>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protection locked="1" hidden="0"/>
    </dxf>
    <dxf>
      <font>
        <strike val="0"/>
        <outline val="0"/>
        <shadow val="0"/>
        <vertAlign val="baseline"/>
        <sz val="10"/>
        <name val="Arial"/>
        <family val="2"/>
        <scheme val="none"/>
      </font>
      <fill>
        <patternFill patternType="solid">
          <fgColor indexed="64"/>
          <bgColor theme="2"/>
        </patternFill>
      </fill>
      <alignment horizontal="center" textRotation="0" indent="0" justifyLastLine="0" shrinkToFit="0" readingOrder="0"/>
      <protection locked="0" hidden="0"/>
    </dxf>
    <dxf>
      <font>
        <strike val="0"/>
        <outline val="0"/>
        <shadow val="0"/>
        <vertAlign val="baseline"/>
        <sz val="10"/>
        <name val="Arial"/>
        <family val="2"/>
        <scheme val="none"/>
      </font>
      <fill>
        <patternFill patternType="solid">
          <fgColor indexed="64"/>
          <bgColor theme="2"/>
        </patternFill>
      </fill>
      <alignment horizontal="center" textRotation="0" indent="0" justifyLastLine="0" shrinkToFit="0" readingOrder="0"/>
      <protection locked="0" hidden="0"/>
    </dxf>
    <dxf>
      <font>
        <strike val="0"/>
        <outline val="0"/>
        <shadow val="0"/>
        <vertAlign val="baseline"/>
        <sz val="10"/>
        <name val="Arial"/>
        <family val="2"/>
        <scheme val="none"/>
      </font>
      <fill>
        <patternFill patternType="solid">
          <fgColor indexed="64"/>
          <bgColor theme="2"/>
        </patternFill>
      </fill>
      <alignment horizontal="center" textRotation="0" indent="0" justifyLastLine="0" shrinkToFit="0" readingOrder="0"/>
      <protection locked="0" hidden="0"/>
    </dxf>
    <dxf>
      <font>
        <strike val="0"/>
        <outline val="0"/>
        <shadow val="0"/>
        <vertAlign val="baseline"/>
        <sz val="10"/>
        <name val="Arial"/>
        <family val="2"/>
        <scheme val="none"/>
      </font>
      <fill>
        <patternFill patternType="solid">
          <fgColor indexed="64"/>
          <bgColor theme="2" tint="-9.9978637043366805E-2"/>
        </patternFill>
      </fill>
      <alignment horizontal="center" textRotation="0" indent="0" justifyLastLine="0" shrinkToFit="0" readingOrder="0"/>
      <protection locked="1" hidden="0"/>
    </dxf>
    <dxf>
      <fill>
        <patternFill>
          <bgColor theme="9" tint="0.79998168889431442"/>
        </patternFill>
      </fill>
    </dxf>
    <dxf>
      <fill>
        <patternFill>
          <bgColor rgb="FFFFD1D1"/>
        </patternFill>
      </fill>
    </dxf>
    <dxf>
      <font>
        <color rgb="FF00B050"/>
      </font>
      <fill>
        <patternFill>
          <bgColor theme="9" tint="0.79998168889431442"/>
        </patternFill>
      </fill>
    </dxf>
    <dxf>
      <font>
        <color rgb="FF9C0006"/>
      </font>
      <fill>
        <patternFill>
          <bgColor rgb="FFFFC7CE"/>
        </patternFill>
      </fill>
    </dxf>
    <dxf>
      <font>
        <color theme="0"/>
      </font>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ont>
        <color theme="0"/>
      </font>
      <fill>
        <patternFill>
          <bgColor theme="0"/>
        </patternFill>
      </fill>
      <border>
        <left/>
        <right/>
        <bottom/>
        <vertical/>
        <horizontal/>
      </border>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border>
        <left style="thin">
          <color rgb="FFFF7C80"/>
        </left>
        <right style="thin">
          <color rgb="FFFF7C80"/>
        </right>
        <top style="thin">
          <color rgb="FFFF7C80"/>
        </top>
        <bottom style="thin">
          <color rgb="FFFF7C80"/>
        </bottom>
        <vertical style="thin">
          <color rgb="FFFF7C80"/>
        </vertical>
        <horizontal style="thin">
          <color rgb="FFFF7C80"/>
        </horizontal>
      </border>
    </dxf>
  </dxfs>
  <tableStyles count="2" defaultTableStyle="TableStyleMedium2" defaultPivotStyle="PivotStyleLight16">
    <tableStyle name="Estilo de tabla 1" pivot="0" count="0" xr9:uid="{34A2A262-9B36-435B-9068-913C4C6DFE9E}"/>
    <tableStyle name="Estilo de tabla dinámica 1" table="0" count="1" xr9:uid="{2B356E18-836E-4332-86F9-79D67EA08066}">
      <tableStyleElement type="wholeTable" dxfId="362"/>
    </tableStyle>
  </tableStyles>
  <colors>
    <mruColors>
      <color rgb="FFFF9999"/>
      <color rgb="FFFF7C80"/>
      <color rgb="FFE2EFDA"/>
      <color rgb="FFFFFFFF"/>
      <color rgb="FFFFCCCC"/>
      <color rgb="FF00CC00"/>
      <color rgb="FFFFC5C5"/>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png"/><Relationship Id="rId1" Type="http://schemas.openxmlformats.org/officeDocument/2006/relationships/image" Target="../media/image29.jpeg"/><Relationship Id="rId6" Type="http://schemas.openxmlformats.org/officeDocument/2006/relationships/image" Target="../media/image34.png"/><Relationship Id="rId5" Type="http://schemas.openxmlformats.org/officeDocument/2006/relationships/image" Target="../media/image33.emf"/><Relationship Id="rId4" Type="http://schemas.openxmlformats.org/officeDocument/2006/relationships/image" Target="../media/image3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4" Type="http://schemas.openxmlformats.org/officeDocument/2006/relationships/image" Target="../media/image3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jpg"/><Relationship Id="rId1" Type="http://schemas.openxmlformats.org/officeDocument/2006/relationships/image" Target="../media/image39.png"/><Relationship Id="rId4" Type="http://schemas.openxmlformats.org/officeDocument/2006/relationships/image" Target="../media/image4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6.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emf"/><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0.pn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xdr:twoCellAnchor editAs="oneCell">
    <xdr:from>
      <xdr:col>12</xdr:col>
      <xdr:colOff>195940</xdr:colOff>
      <xdr:row>3</xdr:row>
      <xdr:rowOff>64286</xdr:rowOff>
    </xdr:from>
    <xdr:to>
      <xdr:col>18</xdr:col>
      <xdr:colOff>460630</xdr:colOff>
      <xdr:row>10</xdr:row>
      <xdr:rowOff>81641</xdr:rowOff>
    </xdr:to>
    <xdr:pic>
      <xdr:nvPicPr>
        <xdr:cNvPr id="3" name="Picture 2">
          <a:extLst>
            <a:ext uri="{FF2B5EF4-FFF2-40B4-BE49-F238E27FC236}">
              <a16:creationId xmlns:a16="http://schemas.microsoft.com/office/drawing/2014/main" id="{CB90C37C-77B4-4593-927E-05899F5D0E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48547" y="731036"/>
          <a:ext cx="4020262" cy="11603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314325</xdr:colOff>
      <xdr:row>24</xdr:row>
      <xdr:rowOff>28575</xdr:rowOff>
    </xdr:from>
    <xdr:to>
      <xdr:col>4</xdr:col>
      <xdr:colOff>597434</xdr:colOff>
      <xdr:row>30</xdr:row>
      <xdr:rowOff>76342</xdr:rowOff>
    </xdr:to>
    <xdr:pic>
      <xdr:nvPicPr>
        <xdr:cNvPr id="2" name="Imagen 1">
          <a:extLst>
            <a:ext uri="{FF2B5EF4-FFF2-40B4-BE49-F238E27FC236}">
              <a16:creationId xmlns:a16="http://schemas.microsoft.com/office/drawing/2014/main" id="{703E7D6C-7321-3EDE-80B9-BBB0FBA29068}"/>
            </a:ext>
          </a:extLst>
        </xdr:cNvPr>
        <xdr:cNvPicPr>
          <a:picLocks noChangeAspect="1"/>
        </xdr:cNvPicPr>
      </xdr:nvPicPr>
      <xdr:blipFill>
        <a:blip xmlns:r="http://schemas.openxmlformats.org/officeDocument/2006/relationships" r:embed="rId1"/>
        <a:stretch>
          <a:fillRect/>
        </a:stretch>
      </xdr:blipFill>
      <xdr:spPr>
        <a:xfrm>
          <a:off x="666750" y="4591050"/>
          <a:ext cx="3829584" cy="1019317"/>
        </a:xfrm>
        <a:prstGeom prst="rect">
          <a:avLst/>
        </a:prstGeom>
      </xdr:spPr>
    </xdr:pic>
    <xdr:clientData/>
  </xdr:twoCellAnchor>
  <xdr:twoCellAnchor editAs="oneCell">
    <xdr:from>
      <xdr:col>1</xdr:col>
      <xdr:colOff>295275</xdr:colOff>
      <xdr:row>30</xdr:row>
      <xdr:rowOff>123825</xdr:rowOff>
    </xdr:from>
    <xdr:to>
      <xdr:col>4</xdr:col>
      <xdr:colOff>606963</xdr:colOff>
      <xdr:row>48</xdr:row>
      <xdr:rowOff>114705</xdr:rowOff>
    </xdr:to>
    <xdr:pic>
      <xdr:nvPicPr>
        <xdr:cNvPr id="3" name="Imagen 2">
          <a:extLst>
            <a:ext uri="{FF2B5EF4-FFF2-40B4-BE49-F238E27FC236}">
              <a16:creationId xmlns:a16="http://schemas.microsoft.com/office/drawing/2014/main" id="{D509FD27-2C74-3E67-4442-3CA324D54C4F}"/>
            </a:ext>
          </a:extLst>
        </xdr:cNvPr>
        <xdr:cNvPicPr>
          <a:picLocks noChangeAspect="1"/>
        </xdr:cNvPicPr>
      </xdr:nvPicPr>
      <xdr:blipFill>
        <a:blip xmlns:r="http://schemas.openxmlformats.org/officeDocument/2006/relationships" r:embed="rId2"/>
        <a:stretch>
          <a:fillRect/>
        </a:stretch>
      </xdr:blipFill>
      <xdr:spPr>
        <a:xfrm>
          <a:off x="638175" y="5981700"/>
          <a:ext cx="3854988" cy="2905530"/>
        </a:xfrm>
        <a:prstGeom prst="rect">
          <a:avLst/>
        </a:prstGeom>
      </xdr:spPr>
    </xdr:pic>
    <xdr:clientData/>
  </xdr:twoCellAnchor>
  <xdr:twoCellAnchor editAs="oneCell">
    <xdr:from>
      <xdr:col>6</xdr:col>
      <xdr:colOff>0</xdr:colOff>
      <xdr:row>30</xdr:row>
      <xdr:rowOff>114300</xdr:rowOff>
    </xdr:from>
    <xdr:to>
      <xdr:col>8</xdr:col>
      <xdr:colOff>581553</xdr:colOff>
      <xdr:row>42</xdr:row>
      <xdr:rowOff>139975</xdr:rowOff>
    </xdr:to>
    <xdr:pic>
      <xdr:nvPicPr>
        <xdr:cNvPr id="4" name="Imagen 3">
          <a:extLst>
            <a:ext uri="{FF2B5EF4-FFF2-40B4-BE49-F238E27FC236}">
              <a16:creationId xmlns:a16="http://schemas.microsoft.com/office/drawing/2014/main" id="{25F9A9C6-1B4F-5ED1-7E5E-41F19477AA2F}"/>
            </a:ext>
          </a:extLst>
        </xdr:cNvPr>
        <xdr:cNvPicPr>
          <a:picLocks noChangeAspect="1"/>
        </xdr:cNvPicPr>
      </xdr:nvPicPr>
      <xdr:blipFill>
        <a:blip xmlns:r="http://schemas.openxmlformats.org/officeDocument/2006/relationships" r:embed="rId3"/>
        <a:stretch>
          <a:fillRect/>
        </a:stretch>
      </xdr:blipFill>
      <xdr:spPr>
        <a:xfrm>
          <a:off x="4857750" y="5648325"/>
          <a:ext cx="3781953" cy="1971950"/>
        </a:xfrm>
        <a:prstGeom prst="rect">
          <a:avLst/>
        </a:prstGeom>
      </xdr:spPr>
    </xdr:pic>
    <xdr:clientData/>
  </xdr:twoCellAnchor>
  <xdr:twoCellAnchor editAs="oneCell">
    <xdr:from>
      <xdr:col>6</xdr:col>
      <xdr:colOff>0</xdr:colOff>
      <xdr:row>43</xdr:row>
      <xdr:rowOff>28575</xdr:rowOff>
    </xdr:from>
    <xdr:to>
      <xdr:col>8</xdr:col>
      <xdr:colOff>619658</xdr:colOff>
      <xdr:row>63</xdr:row>
      <xdr:rowOff>6799</xdr:rowOff>
    </xdr:to>
    <xdr:pic>
      <xdr:nvPicPr>
        <xdr:cNvPr id="5" name="Imagen 4">
          <a:extLst>
            <a:ext uri="{FF2B5EF4-FFF2-40B4-BE49-F238E27FC236}">
              <a16:creationId xmlns:a16="http://schemas.microsoft.com/office/drawing/2014/main" id="{33DE280F-32F5-5EC7-D326-2CE774A947C4}"/>
            </a:ext>
          </a:extLst>
        </xdr:cNvPr>
        <xdr:cNvPicPr>
          <a:picLocks noChangeAspect="1"/>
        </xdr:cNvPicPr>
      </xdr:nvPicPr>
      <xdr:blipFill>
        <a:blip xmlns:r="http://schemas.openxmlformats.org/officeDocument/2006/relationships" r:embed="rId4"/>
        <a:stretch>
          <a:fillRect/>
        </a:stretch>
      </xdr:blipFill>
      <xdr:spPr>
        <a:xfrm>
          <a:off x="4857750" y="7667625"/>
          <a:ext cx="3820058" cy="3219899"/>
        </a:xfrm>
        <a:prstGeom prst="rect">
          <a:avLst/>
        </a:prstGeom>
      </xdr:spPr>
    </xdr:pic>
    <xdr:clientData/>
  </xdr:twoCellAnchor>
  <xdr:twoCellAnchor editAs="oneCell">
    <xdr:from>
      <xdr:col>6</xdr:col>
      <xdr:colOff>0</xdr:colOff>
      <xdr:row>23</xdr:row>
      <xdr:rowOff>142875</xdr:rowOff>
    </xdr:from>
    <xdr:to>
      <xdr:col>8</xdr:col>
      <xdr:colOff>619659</xdr:colOff>
      <xdr:row>30</xdr:row>
      <xdr:rowOff>25542</xdr:rowOff>
    </xdr:to>
    <xdr:pic>
      <xdr:nvPicPr>
        <xdr:cNvPr id="6" name="Imagen 5">
          <a:extLst>
            <a:ext uri="{FF2B5EF4-FFF2-40B4-BE49-F238E27FC236}">
              <a16:creationId xmlns:a16="http://schemas.microsoft.com/office/drawing/2014/main" id="{774DE2F0-2D86-45B8-81D9-EC5CA4C22417}"/>
            </a:ext>
          </a:extLst>
        </xdr:cNvPr>
        <xdr:cNvPicPr>
          <a:picLocks noChangeAspect="1"/>
        </xdr:cNvPicPr>
      </xdr:nvPicPr>
      <xdr:blipFill>
        <a:blip xmlns:r="http://schemas.openxmlformats.org/officeDocument/2006/relationships" r:embed="rId1"/>
        <a:stretch>
          <a:fillRect/>
        </a:stretch>
      </xdr:blipFill>
      <xdr:spPr>
        <a:xfrm>
          <a:off x="4886325" y="4543425"/>
          <a:ext cx="3829584" cy="10193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33</xdr:row>
      <xdr:rowOff>158748</xdr:rowOff>
    </xdr:from>
    <xdr:to>
      <xdr:col>8</xdr:col>
      <xdr:colOff>308769</xdr:colOff>
      <xdr:row>54</xdr:row>
      <xdr:rowOff>39686</xdr:rowOff>
    </xdr:to>
    <xdr:grpSp>
      <xdr:nvGrpSpPr>
        <xdr:cNvPr id="9" name="Grupo 8">
          <a:extLst>
            <a:ext uri="{FF2B5EF4-FFF2-40B4-BE49-F238E27FC236}">
              <a16:creationId xmlns:a16="http://schemas.microsoft.com/office/drawing/2014/main" id="{3F58A8DF-3732-34B3-02E2-D4CB7BD5620D}"/>
            </a:ext>
          </a:extLst>
        </xdr:cNvPr>
        <xdr:cNvGrpSpPr/>
      </xdr:nvGrpSpPr>
      <xdr:grpSpPr>
        <a:xfrm>
          <a:off x="352426" y="7007223"/>
          <a:ext cx="10957718" cy="3281363"/>
          <a:chOff x="365125" y="4976812"/>
          <a:chExt cx="11684000" cy="3222626"/>
        </a:xfrm>
      </xdr:grpSpPr>
      <xdr:grpSp>
        <xdr:nvGrpSpPr>
          <xdr:cNvPr id="5" name="Grupo 4">
            <a:extLst>
              <a:ext uri="{FF2B5EF4-FFF2-40B4-BE49-F238E27FC236}">
                <a16:creationId xmlns:a16="http://schemas.microsoft.com/office/drawing/2014/main" id="{9955D91E-22C8-530D-5841-9BB2B1BC2D49}"/>
              </a:ext>
            </a:extLst>
          </xdr:cNvPr>
          <xdr:cNvGrpSpPr/>
        </xdr:nvGrpSpPr>
        <xdr:grpSpPr>
          <a:xfrm>
            <a:off x="365125" y="4976812"/>
            <a:ext cx="11684000" cy="3222626"/>
            <a:chOff x="317500" y="3937000"/>
            <a:chExt cx="11684000" cy="3222626"/>
          </a:xfrm>
        </xdr:grpSpPr>
        <xdr:sp macro="" textlink="">
          <xdr:nvSpPr>
            <xdr:cNvPr id="8" name="Rectángulo 7">
              <a:extLst>
                <a:ext uri="{FF2B5EF4-FFF2-40B4-BE49-F238E27FC236}">
                  <a16:creationId xmlns:a16="http://schemas.microsoft.com/office/drawing/2014/main" id="{9E7FF0EB-7FA7-79DA-37D3-84DB49545C31}"/>
                </a:ext>
              </a:extLst>
            </xdr:cNvPr>
            <xdr:cNvSpPr/>
          </xdr:nvSpPr>
          <xdr:spPr>
            <a:xfrm>
              <a:off x="6310312" y="3937000"/>
              <a:ext cx="5691188" cy="3222626"/>
            </a:xfrm>
            <a:prstGeom prst="rect">
              <a:avLst/>
            </a:prstGeom>
            <a:ln>
              <a:solidFill>
                <a:srgbClr val="FF7C8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L" sz="1100"/>
            </a:p>
          </xdr:txBody>
        </xdr:sp>
        <xdr:sp macro="" textlink="">
          <xdr:nvSpPr>
            <xdr:cNvPr id="4" name="Rectángulo 3">
              <a:extLst>
                <a:ext uri="{FF2B5EF4-FFF2-40B4-BE49-F238E27FC236}">
                  <a16:creationId xmlns:a16="http://schemas.microsoft.com/office/drawing/2014/main" id="{5732471C-D9E9-504E-BF7C-58D6722BA1A3}"/>
                </a:ext>
              </a:extLst>
            </xdr:cNvPr>
            <xdr:cNvSpPr/>
          </xdr:nvSpPr>
          <xdr:spPr>
            <a:xfrm>
              <a:off x="317500" y="3937000"/>
              <a:ext cx="5881688" cy="2127250"/>
            </a:xfrm>
            <a:prstGeom prst="rect">
              <a:avLst/>
            </a:prstGeom>
            <a:ln>
              <a:solidFill>
                <a:srgbClr val="FF7C8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L" sz="1100"/>
            </a:p>
          </xdr:txBody>
        </xdr:sp>
        <xdr:pic>
          <xdr:nvPicPr>
            <xdr:cNvPr id="2" name="Imagen 1">
              <a:extLst>
                <a:ext uri="{FF2B5EF4-FFF2-40B4-BE49-F238E27FC236}">
                  <a16:creationId xmlns:a16="http://schemas.microsoft.com/office/drawing/2014/main" id="{194AB60D-97A0-CCAC-6C3C-2B9FFE28CC04}"/>
                </a:ext>
              </a:extLst>
            </xdr:cNvPr>
            <xdr:cNvPicPr>
              <a:picLocks noChangeAspect="1"/>
            </xdr:cNvPicPr>
          </xdr:nvPicPr>
          <xdr:blipFill>
            <a:blip xmlns:r="http://schemas.openxmlformats.org/officeDocument/2006/relationships" r:embed="rId1"/>
            <a:stretch>
              <a:fillRect/>
            </a:stretch>
          </xdr:blipFill>
          <xdr:spPr>
            <a:xfrm>
              <a:off x="373061" y="4259620"/>
              <a:ext cx="5762627" cy="1734985"/>
            </a:xfrm>
            <a:prstGeom prst="rect">
              <a:avLst/>
            </a:prstGeom>
          </xdr:spPr>
        </xdr:pic>
        <xdr:sp macro="" textlink="">
          <xdr:nvSpPr>
            <xdr:cNvPr id="3" name="CuadroTexto 2">
              <a:extLst>
                <a:ext uri="{FF2B5EF4-FFF2-40B4-BE49-F238E27FC236}">
                  <a16:creationId xmlns:a16="http://schemas.microsoft.com/office/drawing/2014/main" id="{1EB8F55B-23C2-4DCA-9C9E-F6F701822AAC}"/>
                </a:ext>
              </a:extLst>
            </xdr:cNvPr>
            <xdr:cNvSpPr txBox="1"/>
          </xdr:nvSpPr>
          <xdr:spPr>
            <a:xfrm>
              <a:off x="349249" y="3960813"/>
              <a:ext cx="3550926" cy="233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latin typeface="Arial" panose="020B0604020202020204" pitchFamily="34" charset="0"/>
                  <a:cs typeface="Arial" panose="020B0604020202020204" pitchFamily="34" charset="0"/>
                </a:rPr>
                <a:t>Tabla</a:t>
              </a:r>
              <a:r>
                <a:rPr lang="es-CL" sz="1000" b="1" baseline="0">
                  <a:latin typeface="Arial" panose="020B0604020202020204" pitchFamily="34" charset="0"/>
                  <a:cs typeface="Arial" panose="020B0604020202020204" pitchFamily="34" charset="0"/>
                </a:rPr>
                <a:t> Requerimientos Máximos para Chile y LATAM</a:t>
              </a:r>
              <a:endParaRPr lang="es-CL" sz="1000" b="1">
                <a:latin typeface="Arial" panose="020B0604020202020204" pitchFamily="34" charset="0"/>
                <a:cs typeface="Arial" panose="020B0604020202020204" pitchFamily="34" charset="0"/>
              </a:endParaRPr>
            </a:p>
          </xdr:txBody>
        </xdr:sp>
        <xdr:sp macro="" textlink="">
          <xdr:nvSpPr>
            <xdr:cNvPr id="7" name="CuadroTexto 6">
              <a:extLst>
                <a:ext uri="{FF2B5EF4-FFF2-40B4-BE49-F238E27FC236}">
                  <a16:creationId xmlns:a16="http://schemas.microsoft.com/office/drawing/2014/main" id="{14A60211-0B53-E870-6BAD-A09AD261B3F2}"/>
                </a:ext>
              </a:extLst>
            </xdr:cNvPr>
            <xdr:cNvSpPr txBox="1"/>
          </xdr:nvSpPr>
          <xdr:spPr>
            <a:xfrm>
              <a:off x="6342064" y="3960813"/>
              <a:ext cx="3397249" cy="246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latin typeface="Arial" panose="020B0604020202020204" pitchFamily="34" charset="0"/>
                  <a:cs typeface="Arial" panose="020B0604020202020204" pitchFamily="34" charset="0"/>
                </a:rPr>
                <a:t>Tabla</a:t>
              </a:r>
              <a:r>
                <a:rPr lang="es-CL" sz="1000" b="1" baseline="0">
                  <a:latin typeface="Arial" panose="020B0604020202020204" pitchFamily="34" charset="0"/>
                  <a:cs typeface="Arial" panose="020B0604020202020204" pitchFamily="34" charset="0"/>
                </a:rPr>
                <a:t> Requerimientos Máximos para México</a:t>
              </a:r>
              <a:endParaRPr lang="es-CL" sz="1000" b="1">
                <a:latin typeface="Arial" panose="020B0604020202020204" pitchFamily="34" charset="0"/>
                <a:cs typeface="Arial" panose="020B0604020202020204" pitchFamily="34" charset="0"/>
              </a:endParaRPr>
            </a:p>
          </xdr:txBody>
        </xdr:sp>
      </xdr:grpSp>
      <xdr:pic>
        <xdr:nvPicPr>
          <xdr:cNvPr id="6" name="Imagen 5">
            <a:extLst>
              <a:ext uri="{FF2B5EF4-FFF2-40B4-BE49-F238E27FC236}">
                <a16:creationId xmlns:a16="http://schemas.microsoft.com/office/drawing/2014/main" id="{0D65C48C-FD9A-A2B2-3A0F-EEB2B24CB4B7}"/>
              </a:ext>
            </a:extLst>
          </xdr:cNvPr>
          <xdr:cNvPicPr>
            <a:picLocks noChangeAspect="1"/>
          </xdr:cNvPicPr>
        </xdr:nvPicPr>
        <xdr:blipFill>
          <a:blip xmlns:r="http://schemas.openxmlformats.org/officeDocument/2006/relationships" r:embed="rId2"/>
          <a:stretch>
            <a:fillRect/>
          </a:stretch>
        </xdr:blipFill>
        <xdr:spPr>
          <a:xfrm>
            <a:off x="6437314" y="5334001"/>
            <a:ext cx="5538293" cy="2746374"/>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449580</xdr:colOff>
      <xdr:row>0</xdr:row>
      <xdr:rowOff>161925</xdr:rowOff>
    </xdr:from>
    <xdr:to>
      <xdr:col>19</xdr:col>
      <xdr:colOff>459165</xdr:colOff>
      <xdr:row>18</xdr:row>
      <xdr:rowOff>9954</xdr:rowOff>
    </xdr:to>
    <xdr:pic>
      <xdr:nvPicPr>
        <xdr:cNvPr id="2" name="Imagen 1">
          <a:extLst>
            <a:ext uri="{FF2B5EF4-FFF2-40B4-BE49-F238E27FC236}">
              <a16:creationId xmlns:a16="http://schemas.microsoft.com/office/drawing/2014/main" id="{82DA57DC-A129-47A6-9DBB-405CDEA3C5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69230" y="158750"/>
          <a:ext cx="3822760" cy="2762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472440</xdr:colOff>
      <xdr:row>0</xdr:row>
      <xdr:rowOff>177165</xdr:rowOff>
    </xdr:from>
    <xdr:to>
      <xdr:col>26</xdr:col>
      <xdr:colOff>94820</xdr:colOff>
      <xdr:row>17</xdr:row>
      <xdr:rowOff>20097</xdr:rowOff>
    </xdr:to>
    <xdr:pic>
      <xdr:nvPicPr>
        <xdr:cNvPr id="3" name="Imagen 4">
          <a:extLst>
            <a:ext uri="{FF2B5EF4-FFF2-40B4-BE49-F238E27FC236}">
              <a16:creationId xmlns:a16="http://schemas.microsoft.com/office/drawing/2014/main" id="{0B305D84-C0E9-4153-8B0A-554F0473509C}"/>
            </a:ext>
          </a:extLst>
        </xdr:cNvPr>
        <xdr:cNvPicPr>
          <a:picLocks noChangeAspect="1"/>
        </xdr:cNvPicPr>
      </xdr:nvPicPr>
      <xdr:blipFill rotWithShape="1">
        <a:blip xmlns:r="http://schemas.openxmlformats.org/officeDocument/2006/relationships" r:embed="rId2"/>
        <a:srcRect l="27425" t="39804" r="29677" b="39280"/>
        <a:stretch/>
      </xdr:blipFill>
      <xdr:spPr>
        <a:xfrm>
          <a:off x="35568890" y="180340"/>
          <a:ext cx="2673555" cy="2608357"/>
        </a:xfrm>
        <a:prstGeom prst="rect">
          <a:avLst/>
        </a:prstGeom>
      </xdr:spPr>
    </xdr:pic>
    <xdr:clientData/>
  </xdr:twoCellAnchor>
  <xdr:twoCellAnchor editAs="oneCell">
    <xdr:from>
      <xdr:col>14</xdr:col>
      <xdr:colOff>459105</xdr:colOff>
      <xdr:row>10</xdr:row>
      <xdr:rowOff>106680</xdr:rowOff>
    </xdr:from>
    <xdr:to>
      <xdr:col>19</xdr:col>
      <xdr:colOff>474711</xdr:colOff>
      <xdr:row>37</xdr:row>
      <xdr:rowOff>18855</xdr:rowOff>
    </xdr:to>
    <xdr:pic>
      <xdr:nvPicPr>
        <xdr:cNvPr id="4" name="Imagen 11">
          <a:extLst>
            <a:ext uri="{FF2B5EF4-FFF2-40B4-BE49-F238E27FC236}">
              <a16:creationId xmlns:a16="http://schemas.microsoft.com/office/drawing/2014/main" id="{99786F6C-751B-4840-AD6D-A67FE40C77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681930" y="2903855"/>
          <a:ext cx="3825606" cy="42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401069</xdr:colOff>
      <xdr:row>18</xdr:row>
      <xdr:rowOff>483507</xdr:rowOff>
    </xdr:from>
    <xdr:to>
      <xdr:col>40</xdr:col>
      <xdr:colOff>397554</xdr:colOff>
      <xdr:row>30</xdr:row>
      <xdr:rowOff>339952</xdr:rowOff>
    </xdr:to>
    <xdr:pic>
      <xdr:nvPicPr>
        <xdr:cNvPr id="5" name="Imagen 12">
          <a:extLst>
            <a:ext uri="{FF2B5EF4-FFF2-40B4-BE49-F238E27FC236}">
              <a16:creationId xmlns:a16="http://schemas.microsoft.com/office/drawing/2014/main" id="{6A5F8622-49D9-4316-A5F1-0B041D56A039}"/>
            </a:ext>
          </a:extLst>
        </xdr:cNvPr>
        <xdr:cNvPicPr>
          <a:picLocks noChangeAspect="1"/>
        </xdr:cNvPicPr>
      </xdr:nvPicPr>
      <xdr:blipFill rotWithShape="1">
        <a:blip xmlns:r="http://schemas.openxmlformats.org/officeDocument/2006/relationships" r:embed="rId4"/>
        <a:srcRect l="26395" t="34526" r="27988" b="25926"/>
        <a:stretch/>
      </xdr:blipFill>
      <xdr:spPr>
        <a:xfrm>
          <a:off x="38810632" y="7436757"/>
          <a:ext cx="6806860" cy="4237945"/>
        </a:xfrm>
        <a:prstGeom prst="rect">
          <a:avLst/>
        </a:prstGeom>
      </xdr:spPr>
    </xdr:pic>
    <xdr:clientData/>
  </xdr:twoCellAnchor>
  <xdr:twoCellAnchor editAs="oneCell">
    <xdr:from>
      <xdr:col>21</xdr:col>
      <xdr:colOff>413658</xdr:colOff>
      <xdr:row>15</xdr:row>
      <xdr:rowOff>110910</xdr:rowOff>
    </xdr:from>
    <xdr:to>
      <xdr:col>25</xdr:col>
      <xdr:colOff>544287</xdr:colOff>
      <xdr:row>27</xdr:row>
      <xdr:rowOff>248115</xdr:rowOff>
    </xdr:to>
    <xdr:pic>
      <xdr:nvPicPr>
        <xdr:cNvPr id="6" name="Picture 6">
          <a:extLst>
            <a:ext uri="{FF2B5EF4-FFF2-40B4-BE49-F238E27FC236}">
              <a16:creationId xmlns:a16="http://schemas.microsoft.com/office/drawing/2014/main" id="{F76CB668-CA69-4F6F-9917-2C73AC1FEC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955265" y="4696517"/>
          <a:ext cx="2634343" cy="5933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344804</xdr:colOff>
      <xdr:row>24</xdr:row>
      <xdr:rowOff>324027</xdr:rowOff>
    </xdr:from>
    <xdr:to>
      <xdr:col>27</xdr:col>
      <xdr:colOff>552999</xdr:colOff>
      <xdr:row>71</xdr:row>
      <xdr:rowOff>35424</xdr:rowOff>
    </xdr:to>
    <xdr:pic>
      <xdr:nvPicPr>
        <xdr:cNvPr id="7" name="Picture 5">
          <a:extLst>
            <a:ext uri="{FF2B5EF4-FFF2-40B4-BE49-F238E27FC236}">
              <a16:creationId xmlns:a16="http://schemas.microsoft.com/office/drawing/2014/main" id="{F97E297E-9183-4307-B33D-2EB06962AB00}"/>
            </a:ext>
          </a:extLst>
        </xdr:cNvPr>
        <xdr:cNvPicPr>
          <a:picLocks noChangeAspect="1"/>
        </xdr:cNvPicPr>
      </xdr:nvPicPr>
      <xdr:blipFill>
        <a:blip xmlns:r="http://schemas.openxmlformats.org/officeDocument/2006/relationships" r:embed="rId6"/>
        <a:stretch>
          <a:fillRect/>
        </a:stretch>
      </xdr:blipFill>
      <xdr:spPr>
        <a:xfrm>
          <a:off x="35444429" y="9753777"/>
          <a:ext cx="4018195" cy="748697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472440</xdr:colOff>
      <xdr:row>5</xdr:row>
      <xdr:rowOff>68580</xdr:rowOff>
    </xdr:from>
    <xdr:to>
      <xdr:col>17</xdr:col>
      <xdr:colOff>211645</xdr:colOff>
      <xdr:row>17</xdr:row>
      <xdr:rowOff>402293</xdr:rowOff>
    </xdr:to>
    <xdr:pic>
      <xdr:nvPicPr>
        <xdr:cNvPr id="2" name="Picture 1">
          <a:extLst>
            <a:ext uri="{FF2B5EF4-FFF2-40B4-BE49-F238E27FC236}">
              <a16:creationId xmlns:a16="http://schemas.microsoft.com/office/drawing/2014/main" id="{963440E0-7DAA-4C11-9DF2-16BBAAC5BED2}"/>
            </a:ext>
          </a:extLst>
        </xdr:cNvPr>
        <xdr:cNvPicPr>
          <a:picLocks noChangeAspect="1"/>
        </xdr:cNvPicPr>
      </xdr:nvPicPr>
      <xdr:blipFill>
        <a:blip xmlns:r="http://schemas.openxmlformats.org/officeDocument/2006/relationships" r:embed="rId1"/>
        <a:stretch>
          <a:fillRect/>
        </a:stretch>
      </xdr:blipFill>
      <xdr:spPr>
        <a:xfrm>
          <a:off x="9906000" y="906780"/>
          <a:ext cx="2187130" cy="3901778"/>
        </a:xfrm>
        <a:prstGeom prst="rect">
          <a:avLst/>
        </a:prstGeom>
      </xdr:spPr>
    </xdr:pic>
    <xdr:clientData/>
  </xdr:twoCellAnchor>
  <xdr:twoCellAnchor editAs="oneCell">
    <xdr:from>
      <xdr:col>10</xdr:col>
      <xdr:colOff>0</xdr:colOff>
      <xdr:row>1</xdr:row>
      <xdr:rowOff>0</xdr:rowOff>
    </xdr:from>
    <xdr:to>
      <xdr:col>26</xdr:col>
      <xdr:colOff>19896</xdr:colOff>
      <xdr:row>25</xdr:row>
      <xdr:rowOff>20897</xdr:rowOff>
    </xdr:to>
    <xdr:pic>
      <xdr:nvPicPr>
        <xdr:cNvPr id="3" name="Picture 2">
          <a:extLst>
            <a:ext uri="{FF2B5EF4-FFF2-40B4-BE49-F238E27FC236}">
              <a16:creationId xmlns:a16="http://schemas.microsoft.com/office/drawing/2014/main" id="{DB164CBC-3EC8-4B11-88C5-70EE4D060F7B}"/>
            </a:ext>
          </a:extLst>
        </xdr:cNvPr>
        <xdr:cNvPicPr>
          <a:picLocks noChangeAspect="1"/>
        </xdr:cNvPicPr>
      </xdr:nvPicPr>
      <xdr:blipFill>
        <a:blip xmlns:r="http://schemas.openxmlformats.org/officeDocument/2006/relationships" r:embed="rId2"/>
        <a:stretch>
          <a:fillRect/>
        </a:stretch>
      </xdr:blipFill>
      <xdr:spPr>
        <a:xfrm>
          <a:off x="7604760" y="167640"/>
          <a:ext cx="9762066" cy="6652837"/>
        </a:xfrm>
        <a:prstGeom prst="rect">
          <a:avLst/>
        </a:prstGeom>
      </xdr:spPr>
    </xdr:pic>
    <xdr:clientData/>
  </xdr:twoCellAnchor>
  <xdr:twoCellAnchor editAs="oneCell">
    <xdr:from>
      <xdr:col>9</xdr:col>
      <xdr:colOff>601980</xdr:colOff>
      <xdr:row>24</xdr:row>
      <xdr:rowOff>60960</xdr:rowOff>
    </xdr:from>
    <xdr:to>
      <xdr:col>26</xdr:col>
      <xdr:colOff>844</xdr:colOff>
      <xdr:row>55</xdr:row>
      <xdr:rowOff>105057</xdr:rowOff>
    </xdr:to>
    <xdr:pic>
      <xdr:nvPicPr>
        <xdr:cNvPr id="4" name="Picture 3">
          <a:extLst>
            <a:ext uri="{FF2B5EF4-FFF2-40B4-BE49-F238E27FC236}">
              <a16:creationId xmlns:a16="http://schemas.microsoft.com/office/drawing/2014/main" id="{D0F2ED95-D459-4206-8391-8A3306BC85AF}"/>
            </a:ext>
          </a:extLst>
        </xdr:cNvPr>
        <xdr:cNvPicPr>
          <a:picLocks noChangeAspect="1"/>
        </xdr:cNvPicPr>
      </xdr:nvPicPr>
      <xdr:blipFill>
        <a:blip xmlns:r="http://schemas.openxmlformats.org/officeDocument/2006/relationships" r:embed="rId3"/>
        <a:stretch>
          <a:fillRect/>
        </a:stretch>
      </xdr:blipFill>
      <xdr:spPr>
        <a:xfrm>
          <a:off x="7620000" y="6865620"/>
          <a:ext cx="9754445" cy="6652837"/>
        </a:xfrm>
        <a:prstGeom prst="rect">
          <a:avLst/>
        </a:prstGeom>
      </xdr:spPr>
    </xdr:pic>
    <xdr:clientData/>
  </xdr:twoCellAnchor>
  <xdr:twoCellAnchor editAs="oneCell">
    <xdr:from>
      <xdr:col>3</xdr:col>
      <xdr:colOff>0</xdr:colOff>
      <xdr:row>114</xdr:row>
      <xdr:rowOff>0</xdr:rowOff>
    </xdr:from>
    <xdr:to>
      <xdr:col>6</xdr:col>
      <xdr:colOff>743977</xdr:colOff>
      <xdr:row>161</xdr:row>
      <xdr:rowOff>39640</xdr:rowOff>
    </xdr:to>
    <xdr:pic>
      <xdr:nvPicPr>
        <xdr:cNvPr id="6" name="Picture 5">
          <a:extLst>
            <a:ext uri="{FF2B5EF4-FFF2-40B4-BE49-F238E27FC236}">
              <a16:creationId xmlns:a16="http://schemas.microsoft.com/office/drawing/2014/main" id="{147DC6C0-DE5F-4BA2-9113-3184234FBE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1500" y="17815560"/>
          <a:ext cx="5614427" cy="79187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647700</xdr:colOff>
      <xdr:row>7</xdr:row>
      <xdr:rowOff>85725</xdr:rowOff>
    </xdr:from>
    <xdr:to>
      <xdr:col>8</xdr:col>
      <xdr:colOff>531080</xdr:colOff>
      <xdr:row>32</xdr:row>
      <xdr:rowOff>66675</xdr:rowOff>
    </xdr:to>
    <xdr:pic>
      <xdr:nvPicPr>
        <xdr:cNvPr id="2" name="Imagen 1">
          <a:extLst>
            <a:ext uri="{FF2B5EF4-FFF2-40B4-BE49-F238E27FC236}">
              <a16:creationId xmlns:a16="http://schemas.microsoft.com/office/drawing/2014/main" id="{0FD9142A-7AE4-4B1F-9B87-9AE2850524C9}"/>
            </a:ext>
          </a:extLst>
        </xdr:cNvPr>
        <xdr:cNvPicPr>
          <a:picLocks noChangeAspect="1"/>
        </xdr:cNvPicPr>
      </xdr:nvPicPr>
      <xdr:blipFill>
        <a:blip xmlns:r="http://schemas.openxmlformats.org/officeDocument/2006/relationships" r:embed="rId1"/>
        <a:stretch>
          <a:fillRect/>
        </a:stretch>
      </xdr:blipFill>
      <xdr:spPr>
        <a:xfrm>
          <a:off x="647700" y="1285875"/>
          <a:ext cx="6522305" cy="4267200"/>
        </a:xfrm>
        <a:prstGeom prst="rect">
          <a:avLst/>
        </a:prstGeom>
      </xdr:spPr>
    </xdr:pic>
    <xdr:clientData/>
  </xdr:twoCellAnchor>
  <xdr:twoCellAnchor editAs="oneCell">
    <xdr:from>
      <xdr:col>11</xdr:col>
      <xdr:colOff>658177</xdr:colOff>
      <xdr:row>2</xdr:row>
      <xdr:rowOff>74296</xdr:rowOff>
    </xdr:from>
    <xdr:to>
      <xdr:col>15</xdr:col>
      <xdr:colOff>148355</xdr:colOff>
      <xdr:row>29</xdr:row>
      <xdr:rowOff>47626</xdr:rowOff>
    </xdr:to>
    <xdr:pic>
      <xdr:nvPicPr>
        <xdr:cNvPr id="3" name="Imagen 3">
          <a:extLst>
            <a:ext uri="{FF2B5EF4-FFF2-40B4-BE49-F238E27FC236}">
              <a16:creationId xmlns:a16="http://schemas.microsoft.com/office/drawing/2014/main" id="{9BB0A57A-BAD3-487E-A60E-84201DA900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92652" y="417196"/>
          <a:ext cx="2614378" cy="4602480"/>
        </a:xfrm>
        <a:prstGeom prst="rect">
          <a:avLst/>
        </a:prstGeom>
      </xdr:spPr>
    </xdr:pic>
    <xdr:clientData/>
  </xdr:twoCellAnchor>
  <xdr:twoCellAnchor editAs="oneCell">
    <xdr:from>
      <xdr:col>6</xdr:col>
      <xdr:colOff>649605</xdr:colOff>
      <xdr:row>52</xdr:row>
      <xdr:rowOff>139066</xdr:rowOff>
    </xdr:from>
    <xdr:to>
      <xdr:col>12</xdr:col>
      <xdr:colOff>246697</xdr:colOff>
      <xdr:row>70</xdr:row>
      <xdr:rowOff>106178</xdr:rowOff>
    </xdr:to>
    <xdr:pic>
      <xdr:nvPicPr>
        <xdr:cNvPr id="4" name="Imagen 4">
          <a:extLst>
            <a:ext uri="{FF2B5EF4-FFF2-40B4-BE49-F238E27FC236}">
              <a16:creationId xmlns:a16="http://schemas.microsoft.com/office/drawing/2014/main" id="{123DA1ED-90E0-4979-8104-5B106D5B342A}"/>
            </a:ext>
          </a:extLst>
        </xdr:cNvPr>
        <xdr:cNvPicPr>
          <a:picLocks noChangeAspect="1"/>
        </xdr:cNvPicPr>
      </xdr:nvPicPr>
      <xdr:blipFill>
        <a:blip xmlns:r="http://schemas.openxmlformats.org/officeDocument/2006/relationships" r:embed="rId3"/>
        <a:stretch>
          <a:fillRect/>
        </a:stretch>
      </xdr:blipFill>
      <xdr:spPr>
        <a:xfrm>
          <a:off x="5545455" y="9187816"/>
          <a:ext cx="4616767" cy="3053212"/>
        </a:xfrm>
        <a:prstGeom prst="rect">
          <a:avLst/>
        </a:prstGeom>
      </xdr:spPr>
    </xdr:pic>
    <xdr:clientData/>
  </xdr:twoCellAnchor>
  <xdr:twoCellAnchor editAs="oneCell">
    <xdr:from>
      <xdr:col>0</xdr:col>
      <xdr:colOff>273367</xdr:colOff>
      <xdr:row>52</xdr:row>
      <xdr:rowOff>152400</xdr:rowOff>
    </xdr:from>
    <xdr:to>
      <xdr:col>6</xdr:col>
      <xdr:colOff>76067</xdr:colOff>
      <xdr:row>81</xdr:row>
      <xdr:rowOff>2857</xdr:rowOff>
    </xdr:to>
    <xdr:pic>
      <xdr:nvPicPr>
        <xdr:cNvPr id="5" name="Imagen 5">
          <a:extLst>
            <a:ext uri="{FF2B5EF4-FFF2-40B4-BE49-F238E27FC236}">
              <a16:creationId xmlns:a16="http://schemas.microsoft.com/office/drawing/2014/main" id="{14876DAF-8E5C-4D21-99F4-71251B77A91B}"/>
            </a:ext>
          </a:extLst>
        </xdr:cNvPr>
        <xdr:cNvPicPr>
          <a:picLocks noChangeAspect="1"/>
        </xdr:cNvPicPr>
      </xdr:nvPicPr>
      <xdr:blipFill>
        <a:blip xmlns:r="http://schemas.openxmlformats.org/officeDocument/2006/relationships" r:embed="rId4"/>
        <a:stretch>
          <a:fillRect/>
        </a:stretch>
      </xdr:blipFill>
      <xdr:spPr>
        <a:xfrm>
          <a:off x="273367" y="9201150"/>
          <a:ext cx="4698550" cy="48225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583291</xdr:colOff>
      <xdr:row>65</xdr:row>
      <xdr:rowOff>149514</xdr:rowOff>
    </xdr:from>
    <xdr:to>
      <xdr:col>12</xdr:col>
      <xdr:colOff>583292</xdr:colOff>
      <xdr:row>92</xdr:row>
      <xdr:rowOff>152434</xdr:rowOff>
    </xdr:to>
    <xdr:grpSp>
      <xdr:nvGrpSpPr>
        <xdr:cNvPr id="2" name="Grupo 1">
          <a:extLst>
            <a:ext uri="{FF2B5EF4-FFF2-40B4-BE49-F238E27FC236}">
              <a16:creationId xmlns:a16="http://schemas.microsoft.com/office/drawing/2014/main" id="{54959717-FF7A-4F4C-AE8E-0D6EFFC8DF59}"/>
            </a:ext>
          </a:extLst>
        </xdr:cNvPr>
        <xdr:cNvGrpSpPr/>
      </xdr:nvGrpSpPr>
      <xdr:grpSpPr>
        <a:xfrm>
          <a:off x="8860516" y="11817639"/>
          <a:ext cx="4933951" cy="5422645"/>
          <a:chOff x="6511554" y="6901090"/>
          <a:chExt cx="3234271" cy="4449740"/>
        </a:xfrm>
      </xdr:grpSpPr>
      <xdr:pic>
        <xdr:nvPicPr>
          <xdr:cNvPr id="3" name="Picture 36" descr="Ein Bild, das Baumaterial, Gebäude, Ziegelstein, aus Holz enthält.&#10;&#10;Automatisch generierte Beschreibung">
            <a:extLst>
              <a:ext uri="{FF2B5EF4-FFF2-40B4-BE49-F238E27FC236}">
                <a16:creationId xmlns:a16="http://schemas.microsoft.com/office/drawing/2014/main" id="{432C0F53-5096-99C7-0CD3-4DB9B07C91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554" y="6901090"/>
            <a:ext cx="3234271" cy="4449740"/>
          </a:xfrm>
          <a:prstGeom prst="rect">
            <a:avLst/>
          </a:prstGeom>
          <a:ln>
            <a:solidFill>
              <a:srgbClr val="FF7C80"/>
            </a:solidFill>
          </a:ln>
        </xdr:spPr>
      </xdr:pic>
      <xdr:sp macro="" textlink="">
        <xdr:nvSpPr>
          <xdr:cNvPr id="4" name="Forma libre: forma 3">
            <a:extLst>
              <a:ext uri="{FF2B5EF4-FFF2-40B4-BE49-F238E27FC236}">
                <a16:creationId xmlns:a16="http://schemas.microsoft.com/office/drawing/2014/main" id="{9B6A328B-F22F-759A-51A3-83997BC67FFD}"/>
              </a:ext>
            </a:extLst>
          </xdr:cNvPr>
          <xdr:cNvSpPr/>
        </xdr:nvSpPr>
        <xdr:spPr>
          <a:xfrm>
            <a:off x="7666790" y="7594647"/>
            <a:ext cx="568012" cy="3254549"/>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5" name="Forma libre: forma 4">
            <a:extLst>
              <a:ext uri="{FF2B5EF4-FFF2-40B4-BE49-F238E27FC236}">
                <a16:creationId xmlns:a16="http://schemas.microsoft.com/office/drawing/2014/main" id="{6FA07611-6DF3-F3A3-F982-238FC69801AD}"/>
              </a:ext>
            </a:extLst>
          </xdr:cNvPr>
          <xdr:cNvSpPr/>
        </xdr:nvSpPr>
        <xdr:spPr>
          <a:xfrm>
            <a:off x="8239687" y="7282728"/>
            <a:ext cx="568012" cy="3259434"/>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6" name="CuadroTexto 5">
            <a:extLst>
              <a:ext uri="{FF2B5EF4-FFF2-40B4-BE49-F238E27FC236}">
                <a16:creationId xmlns:a16="http://schemas.microsoft.com/office/drawing/2014/main" id="{D1BECB95-9224-53C9-157F-2D071D564A0B}"/>
              </a:ext>
            </a:extLst>
          </xdr:cNvPr>
          <xdr:cNvSpPr txBox="1"/>
        </xdr:nvSpPr>
        <xdr:spPr>
          <a:xfrm>
            <a:off x="7377722" y="6966553"/>
            <a:ext cx="815555" cy="267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1</a:t>
            </a:r>
          </a:p>
        </xdr:txBody>
      </xdr:sp>
      <xdr:sp macro="" textlink="">
        <xdr:nvSpPr>
          <xdr:cNvPr id="7" name="CuadroTexto 6">
            <a:extLst>
              <a:ext uri="{FF2B5EF4-FFF2-40B4-BE49-F238E27FC236}">
                <a16:creationId xmlns:a16="http://schemas.microsoft.com/office/drawing/2014/main" id="{D9BF2318-A938-583E-AA1C-6B9E8639AA89}"/>
              </a:ext>
            </a:extLst>
          </xdr:cNvPr>
          <xdr:cNvSpPr txBox="1"/>
        </xdr:nvSpPr>
        <xdr:spPr>
          <a:xfrm>
            <a:off x="6752851" y="7327595"/>
            <a:ext cx="815553" cy="270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2</a:t>
            </a:r>
          </a:p>
        </xdr:txBody>
      </xdr:sp>
    </xdr:grpSp>
    <xdr:clientData/>
  </xdr:twoCellAnchor>
  <xdr:twoCellAnchor>
    <xdr:from>
      <xdr:col>15</xdr:col>
      <xdr:colOff>726167</xdr:colOff>
      <xdr:row>27</xdr:row>
      <xdr:rowOff>20090</xdr:rowOff>
    </xdr:from>
    <xdr:to>
      <xdr:col>29</xdr:col>
      <xdr:colOff>293503</xdr:colOff>
      <xdr:row>72</xdr:row>
      <xdr:rowOff>11361</xdr:rowOff>
    </xdr:to>
    <xdr:grpSp>
      <xdr:nvGrpSpPr>
        <xdr:cNvPr id="8" name="Grupo 7">
          <a:extLst>
            <a:ext uri="{FF2B5EF4-FFF2-40B4-BE49-F238E27FC236}">
              <a16:creationId xmlns:a16="http://schemas.microsoft.com/office/drawing/2014/main" id="{DFAC736B-8527-4968-89BE-2A303221BFAE}"/>
            </a:ext>
          </a:extLst>
        </xdr:cNvPr>
        <xdr:cNvGrpSpPr>
          <a:grpSpLocks noChangeAspect="1"/>
        </xdr:cNvGrpSpPr>
      </xdr:nvGrpSpPr>
      <xdr:grpSpPr>
        <a:xfrm>
          <a:off x="15766142" y="5125490"/>
          <a:ext cx="9606686" cy="7735096"/>
          <a:chOff x="6580083" y="4163786"/>
          <a:chExt cx="6438989" cy="6741721"/>
        </a:xfrm>
      </xdr:grpSpPr>
      <xdr:sp macro="" textlink="">
        <xdr:nvSpPr>
          <xdr:cNvPr id="9" name="Rectángulo 8">
            <a:extLst>
              <a:ext uri="{FF2B5EF4-FFF2-40B4-BE49-F238E27FC236}">
                <a16:creationId xmlns:a16="http://schemas.microsoft.com/office/drawing/2014/main" id="{5C1619A4-EBA4-55BC-BE9D-7B385A343776}"/>
              </a:ext>
            </a:extLst>
          </xdr:cNvPr>
          <xdr:cNvSpPr/>
        </xdr:nvSpPr>
        <xdr:spPr>
          <a:xfrm>
            <a:off x="6580083" y="4163786"/>
            <a:ext cx="6438989" cy="6741721"/>
          </a:xfrm>
          <a:prstGeom prst="rect">
            <a:avLst/>
          </a:prstGeom>
          <a:solidFill>
            <a:sysClr val="window" lastClr="FFFFFF"/>
          </a:solidFill>
          <a:ln w="9525" cap="flat" cmpd="sng" algn="ctr">
            <a:solidFill>
              <a:srgbClr val="FF7C8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s-CL" sz="1100"/>
          </a:p>
        </xdr:txBody>
      </xdr:sp>
      <xdr:grpSp>
        <xdr:nvGrpSpPr>
          <xdr:cNvPr id="10" name="Grupo 9">
            <a:extLst>
              <a:ext uri="{FF2B5EF4-FFF2-40B4-BE49-F238E27FC236}">
                <a16:creationId xmlns:a16="http://schemas.microsoft.com/office/drawing/2014/main" id="{77C1DE89-692F-9B0F-F933-EB84B29AEF54}"/>
              </a:ext>
            </a:extLst>
          </xdr:cNvPr>
          <xdr:cNvGrpSpPr/>
        </xdr:nvGrpSpPr>
        <xdr:grpSpPr>
          <a:xfrm>
            <a:off x="6599413" y="4192993"/>
            <a:ext cx="6397945" cy="6694371"/>
            <a:chOff x="6568900" y="4229279"/>
            <a:chExt cx="5242100" cy="5499862"/>
          </a:xfrm>
        </xdr:grpSpPr>
        <xdr:pic>
          <xdr:nvPicPr>
            <xdr:cNvPr id="11" name="Imagen 10">
              <a:extLst>
                <a:ext uri="{FF2B5EF4-FFF2-40B4-BE49-F238E27FC236}">
                  <a16:creationId xmlns:a16="http://schemas.microsoft.com/office/drawing/2014/main" id="{A6F86A8B-B9C1-B6EF-585A-6A3B910778F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000"/>
            <a:stretch/>
          </xdr:blipFill>
          <xdr:spPr bwMode="auto">
            <a:xfrm>
              <a:off x="6568900" y="4229279"/>
              <a:ext cx="5242100" cy="520927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 name="CuadroTexto 11">
              <a:extLst>
                <a:ext uri="{FF2B5EF4-FFF2-40B4-BE49-F238E27FC236}">
                  <a16:creationId xmlns:a16="http://schemas.microsoft.com/office/drawing/2014/main" id="{1E113FD7-CAB9-0867-ECBB-F97521E84396}"/>
                </a:ext>
              </a:extLst>
            </xdr:cNvPr>
            <xdr:cNvSpPr txBox="1"/>
          </xdr:nvSpPr>
          <xdr:spPr>
            <a:xfrm>
              <a:off x="6658428" y="9506857"/>
              <a:ext cx="5107215" cy="2222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50">
                  <a:latin typeface="Arial" panose="020B0604020202020204" pitchFamily="34" charset="0"/>
                  <a:cs typeface="Arial" panose="020B0604020202020204" pitchFamily="34" charset="0"/>
                </a:rPr>
                <a:t>Tabla</a:t>
              </a:r>
              <a:r>
                <a:rPr lang="es-CL" sz="1050" baseline="0">
                  <a:latin typeface="Arial" panose="020B0604020202020204" pitchFamily="34" charset="0"/>
                  <a:cs typeface="Arial" panose="020B0604020202020204" pitchFamily="34" charset="0"/>
                </a:rPr>
                <a:t> N°1 Resistencia superficial por elementos verticales y horizontales, en base a la normativa NCH 853.</a:t>
              </a:r>
              <a:endParaRPr lang="es-CL" sz="1050">
                <a:latin typeface="Arial" panose="020B0604020202020204" pitchFamily="34" charset="0"/>
                <a:cs typeface="Arial" panose="020B0604020202020204" pitchFamily="34" charset="0"/>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580116</xdr:colOff>
      <xdr:row>67</xdr:row>
      <xdr:rowOff>149514</xdr:rowOff>
    </xdr:from>
    <xdr:to>
      <xdr:col>12</xdr:col>
      <xdr:colOff>580117</xdr:colOff>
      <xdr:row>94</xdr:row>
      <xdr:rowOff>152434</xdr:rowOff>
    </xdr:to>
    <xdr:grpSp>
      <xdr:nvGrpSpPr>
        <xdr:cNvPr id="2" name="Grupo 1">
          <a:extLst>
            <a:ext uri="{FF2B5EF4-FFF2-40B4-BE49-F238E27FC236}">
              <a16:creationId xmlns:a16="http://schemas.microsoft.com/office/drawing/2014/main" id="{F02522E1-FBF3-4789-ADEB-7E32CFB62EFE}"/>
            </a:ext>
          </a:extLst>
        </xdr:cNvPr>
        <xdr:cNvGrpSpPr/>
      </xdr:nvGrpSpPr>
      <xdr:grpSpPr>
        <a:xfrm>
          <a:off x="6857091" y="12674889"/>
          <a:ext cx="3276601" cy="5422645"/>
          <a:chOff x="6511554" y="6901090"/>
          <a:chExt cx="3234271" cy="4449740"/>
        </a:xfrm>
      </xdr:grpSpPr>
      <xdr:pic>
        <xdr:nvPicPr>
          <xdr:cNvPr id="3" name="Picture 36" descr="Ein Bild, das Baumaterial, Gebäude, Ziegelstein, aus Holz enthält.&#10;&#10;Automatisch generierte Beschreibung">
            <a:extLst>
              <a:ext uri="{FF2B5EF4-FFF2-40B4-BE49-F238E27FC236}">
                <a16:creationId xmlns:a16="http://schemas.microsoft.com/office/drawing/2014/main" id="{86ED6A3F-D46E-DEFB-C8AA-A94A85A3B7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554" y="6901090"/>
            <a:ext cx="3234271" cy="4449740"/>
          </a:xfrm>
          <a:prstGeom prst="rect">
            <a:avLst/>
          </a:prstGeom>
          <a:ln>
            <a:solidFill>
              <a:srgbClr val="FF7C80"/>
            </a:solidFill>
          </a:ln>
        </xdr:spPr>
      </xdr:pic>
      <xdr:sp macro="" textlink="">
        <xdr:nvSpPr>
          <xdr:cNvPr id="4" name="Forma libre: forma 3">
            <a:extLst>
              <a:ext uri="{FF2B5EF4-FFF2-40B4-BE49-F238E27FC236}">
                <a16:creationId xmlns:a16="http://schemas.microsoft.com/office/drawing/2014/main" id="{7B37E068-F468-7357-1948-FE262F929E19}"/>
              </a:ext>
            </a:extLst>
          </xdr:cNvPr>
          <xdr:cNvSpPr/>
        </xdr:nvSpPr>
        <xdr:spPr>
          <a:xfrm>
            <a:off x="7666790" y="7594647"/>
            <a:ext cx="568012" cy="3254549"/>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5" name="Forma libre: forma 4">
            <a:extLst>
              <a:ext uri="{FF2B5EF4-FFF2-40B4-BE49-F238E27FC236}">
                <a16:creationId xmlns:a16="http://schemas.microsoft.com/office/drawing/2014/main" id="{3F3B3524-12E7-AB81-FBEF-957AC55F8396}"/>
              </a:ext>
            </a:extLst>
          </xdr:cNvPr>
          <xdr:cNvSpPr/>
        </xdr:nvSpPr>
        <xdr:spPr>
          <a:xfrm>
            <a:off x="8239687" y="7282728"/>
            <a:ext cx="568012" cy="3259434"/>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6" name="CuadroTexto 5">
            <a:extLst>
              <a:ext uri="{FF2B5EF4-FFF2-40B4-BE49-F238E27FC236}">
                <a16:creationId xmlns:a16="http://schemas.microsoft.com/office/drawing/2014/main" id="{17F1A432-5866-6A80-420F-FF8CF2C2999D}"/>
              </a:ext>
            </a:extLst>
          </xdr:cNvPr>
          <xdr:cNvSpPr txBox="1"/>
        </xdr:nvSpPr>
        <xdr:spPr>
          <a:xfrm>
            <a:off x="7377722" y="6966553"/>
            <a:ext cx="815555" cy="267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1</a:t>
            </a:r>
          </a:p>
        </xdr:txBody>
      </xdr:sp>
      <xdr:sp macro="" textlink="">
        <xdr:nvSpPr>
          <xdr:cNvPr id="7" name="CuadroTexto 6">
            <a:extLst>
              <a:ext uri="{FF2B5EF4-FFF2-40B4-BE49-F238E27FC236}">
                <a16:creationId xmlns:a16="http://schemas.microsoft.com/office/drawing/2014/main" id="{85F9BF21-6834-65C1-99A5-D031AC476FB8}"/>
              </a:ext>
            </a:extLst>
          </xdr:cNvPr>
          <xdr:cNvSpPr txBox="1"/>
        </xdr:nvSpPr>
        <xdr:spPr>
          <a:xfrm>
            <a:off x="6752851" y="7327595"/>
            <a:ext cx="815553" cy="270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2</a:t>
            </a:r>
          </a:p>
        </xdr:txBody>
      </xdr:sp>
    </xdr:grpSp>
    <xdr:clientData/>
  </xdr:twoCellAnchor>
  <xdr:twoCellAnchor>
    <xdr:from>
      <xdr:col>13</xdr:col>
      <xdr:colOff>192767</xdr:colOff>
      <xdr:row>27</xdr:row>
      <xdr:rowOff>35330</xdr:rowOff>
    </xdr:from>
    <xdr:to>
      <xdr:col>23</xdr:col>
      <xdr:colOff>296678</xdr:colOff>
      <xdr:row>74</xdr:row>
      <xdr:rowOff>29776</xdr:rowOff>
    </xdr:to>
    <xdr:grpSp>
      <xdr:nvGrpSpPr>
        <xdr:cNvPr id="8" name="Grupo 7">
          <a:extLst>
            <a:ext uri="{FF2B5EF4-FFF2-40B4-BE49-F238E27FC236}">
              <a16:creationId xmlns:a16="http://schemas.microsoft.com/office/drawing/2014/main" id="{1EA245AE-8272-4A80-9A6F-7BC55105E00F}"/>
            </a:ext>
          </a:extLst>
        </xdr:cNvPr>
        <xdr:cNvGrpSpPr>
          <a:grpSpLocks noChangeAspect="1"/>
        </xdr:cNvGrpSpPr>
      </xdr:nvGrpSpPr>
      <xdr:grpSpPr>
        <a:xfrm>
          <a:off x="10327367" y="5140730"/>
          <a:ext cx="7333386" cy="8595521"/>
          <a:chOff x="6580083" y="4163786"/>
          <a:chExt cx="6438989" cy="6741721"/>
        </a:xfrm>
      </xdr:grpSpPr>
      <xdr:sp macro="" textlink="">
        <xdr:nvSpPr>
          <xdr:cNvPr id="9" name="Rectángulo 8">
            <a:extLst>
              <a:ext uri="{FF2B5EF4-FFF2-40B4-BE49-F238E27FC236}">
                <a16:creationId xmlns:a16="http://schemas.microsoft.com/office/drawing/2014/main" id="{98EEDA38-D115-7E4C-7C16-49E3DD7D5D17}"/>
              </a:ext>
            </a:extLst>
          </xdr:cNvPr>
          <xdr:cNvSpPr/>
        </xdr:nvSpPr>
        <xdr:spPr>
          <a:xfrm>
            <a:off x="6580083" y="4163786"/>
            <a:ext cx="6438989" cy="6741721"/>
          </a:xfrm>
          <a:prstGeom prst="rect">
            <a:avLst/>
          </a:prstGeom>
          <a:solidFill>
            <a:sysClr val="window" lastClr="FFFFFF"/>
          </a:solidFill>
          <a:ln w="9525" cap="flat" cmpd="sng" algn="ctr">
            <a:solidFill>
              <a:srgbClr val="FF7C8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s-CL" sz="1100"/>
          </a:p>
        </xdr:txBody>
      </xdr:sp>
      <xdr:grpSp>
        <xdr:nvGrpSpPr>
          <xdr:cNvPr id="10" name="Grupo 9">
            <a:extLst>
              <a:ext uri="{FF2B5EF4-FFF2-40B4-BE49-F238E27FC236}">
                <a16:creationId xmlns:a16="http://schemas.microsoft.com/office/drawing/2014/main" id="{ECB7EA0D-6A73-0A4F-9899-6174FB8337A0}"/>
              </a:ext>
            </a:extLst>
          </xdr:cNvPr>
          <xdr:cNvGrpSpPr/>
        </xdr:nvGrpSpPr>
        <xdr:grpSpPr>
          <a:xfrm>
            <a:off x="6599413" y="4192993"/>
            <a:ext cx="6397945" cy="6694371"/>
            <a:chOff x="6568900" y="4229279"/>
            <a:chExt cx="5242100" cy="5499862"/>
          </a:xfrm>
        </xdr:grpSpPr>
        <xdr:pic>
          <xdr:nvPicPr>
            <xdr:cNvPr id="11" name="Imagen 10">
              <a:extLst>
                <a:ext uri="{FF2B5EF4-FFF2-40B4-BE49-F238E27FC236}">
                  <a16:creationId xmlns:a16="http://schemas.microsoft.com/office/drawing/2014/main" id="{CC719B6E-5609-EB23-D288-8A7F1FEE11C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000"/>
            <a:stretch/>
          </xdr:blipFill>
          <xdr:spPr bwMode="auto">
            <a:xfrm>
              <a:off x="6568900" y="4229279"/>
              <a:ext cx="5242100" cy="520927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 name="CuadroTexto 11">
              <a:extLst>
                <a:ext uri="{FF2B5EF4-FFF2-40B4-BE49-F238E27FC236}">
                  <a16:creationId xmlns:a16="http://schemas.microsoft.com/office/drawing/2014/main" id="{69880348-A06D-4CDD-CB86-DF248DD5E567}"/>
                </a:ext>
              </a:extLst>
            </xdr:cNvPr>
            <xdr:cNvSpPr txBox="1"/>
          </xdr:nvSpPr>
          <xdr:spPr>
            <a:xfrm>
              <a:off x="6658428" y="9506857"/>
              <a:ext cx="5107215" cy="2222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50">
                  <a:latin typeface="Arial" panose="020B0604020202020204" pitchFamily="34" charset="0"/>
                  <a:cs typeface="Arial" panose="020B0604020202020204" pitchFamily="34" charset="0"/>
                </a:rPr>
                <a:t>Tabla</a:t>
              </a:r>
              <a:r>
                <a:rPr lang="es-CL" sz="1050" baseline="0">
                  <a:latin typeface="Arial" panose="020B0604020202020204" pitchFamily="34" charset="0"/>
                  <a:cs typeface="Arial" panose="020B0604020202020204" pitchFamily="34" charset="0"/>
                </a:rPr>
                <a:t> N°1 Resistencia superficial por elementos verticales y horizontales, en base a la normativa NCH 853.</a:t>
              </a:r>
              <a:endParaRPr lang="es-CL" sz="1050">
                <a:latin typeface="Arial" panose="020B0604020202020204" pitchFamily="34" charset="0"/>
                <a:cs typeface="Arial" panose="020B0604020202020204" pitchFamily="34" charset="0"/>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1813</xdr:colOff>
      <xdr:row>63</xdr:row>
      <xdr:rowOff>64696</xdr:rowOff>
    </xdr:from>
    <xdr:to>
      <xdr:col>12</xdr:col>
      <xdr:colOff>1813</xdr:colOff>
      <xdr:row>89</xdr:row>
      <xdr:rowOff>87572</xdr:rowOff>
    </xdr:to>
    <xdr:grpSp>
      <xdr:nvGrpSpPr>
        <xdr:cNvPr id="2" name="Grupo 1">
          <a:extLst>
            <a:ext uri="{FF2B5EF4-FFF2-40B4-BE49-F238E27FC236}">
              <a16:creationId xmlns:a16="http://schemas.microsoft.com/office/drawing/2014/main" id="{1BADF1AD-5738-41B1-B804-A3131B182E3F}"/>
            </a:ext>
          </a:extLst>
        </xdr:cNvPr>
        <xdr:cNvGrpSpPr/>
      </xdr:nvGrpSpPr>
      <xdr:grpSpPr>
        <a:xfrm>
          <a:off x="9383938" y="11408971"/>
          <a:ext cx="5476875" cy="4661551"/>
          <a:chOff x="6511554" y="6901090"/>
          <a:chExt cx="3234271" cy="4449740"/>
        </a:xfrm>
      </xdr:grpSpPr>
      <xdr:pic>
        <xdr:nvPicPr>
          <xdr:cNvPr id="3" name="Picture 36" descr="Ein Bild, das Baumaterial, Gebäude, Ziegelstein, aus Holz enthält.&#10;&#10;Automatisch generierte Beschreibung">
            <a:extLst>
              <a:ext uri="{FF2B5EF4-FFF2-40B4-BE49-F238E27FC236}">
                <a16:creationId xmlns:a16="http://schemas.microsoft.com/office/drawing/2014/main" id="{C1E18734-848B-4383-B2C0-A80124831D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554" y="6901090"/>
            <a:ext cx="3234271" cy="4449740"/>
          </a:xfrm>
          <a:prstGeom prst="rect">
            <a:avLst/>
          </a:prstGeom>
          <a:ln>
            <a:solidFill>
              <a:srgbClr val="FF7C80"/>
            </a:solidFill>
          </a:ln>
        </xdr:spPr>
      </xdr:pic>
      <xdr:sp macro="" textlink="">
        <xdr:nvSpPr>
          <xdr:cNvPr id="4" name="Forma libre: forma 3">
            <a:extLst>
              <a:ext uri="{FF2B5EF4-FFF2-40B4-BE49-F238E27FC236}">
                <a16:creationId xmlns:a16="http://schemas.microsoft.com/office/drawing/2014/main" id="{EEE9A991-0C55-C9D8-2ABC-0C00312A86B0}"/>
              </a:ext>
            </a:extLst>
          </xdr:cNvPr>
          <xdr:cNvSpPr/>
        </xdr:nvSpPr>
        <xdr:spPr>
          <a:xfrm>
            <a:off x="7666790" y="7594647"/>
            <a:ext cx="568012" cy="3254549"/>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5" name="Forma libre: forma 4">
            <a:extLst>
              <a:ext uri="{FF2B5EF4-FFF2-40B4-BE49-F238E27FC236}">
                <a16:creationId xmlns:a16="http://schemas.microsoft.com/office/drawing/2014/main" id="{2523FA49-3A30-B2CE-E606-BD5AD865ED41}"/>
              </a:ext>
            </a:extLst>
          </xdr:cNvPr>
          <xdr:cNvSpPr/>
        </xdr:nvSpPr>
        <xdr:spPr>
          <a:xfrm>
            <a:off x="8239687" y="7282728"/>
            <a:ext cx="568012" cy="3259434"/>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6" name="CuadroTexto 5">
            <a:extLst>
              <a:ext uri="{FF2B5EF4-FFF2-40B4-BE49-F238E27FC236}">
                <a16:creationId xmlns:a16="http://schemas.microsoft.com/office/drawing/2014/main" id="{15EDF7FD-5367-A9A8-05F1-77136E48BAC4}"/>
              </a:ext>
            </a:extLst>
          </xdr:cNvPr>
          <xdr:cNvSpPr txBox="1"/>
        </xdr:nvSpPr>
        <xdr:spPr>
          <a:xfrm>
            <a:off x="7377722" y="6966553"/>
            <a:ext cx="815555" cy="267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1</a:t>
            </a:r>
          </a:p>
        </xdr:txBody>
      </xdr:sp>
      <xdr:sp macro="" textlink="">
        <xdr:nvSpPr>
          <xdr:cNvPr id="7" name="CuadroTexto 6">
            <a:extLst>
              <a:ext uri="{FF2B5EF4-FFF2-40B4-BE49-F238E27FC236}">
                <a16:creationId xmlns:a16="http://schemas.microsoft.com/office/drawing/2014/main" id="{77B52166-157F-43CD-F4DA-2D477EABE756}"/>
              </a:ext>
            </a:extLst>
          </xdr:cNvPr>
          <xdr:cNvSpPr txBox="1"/>
        </xdr:nvSpPr>
        <xdr:spPr>
          <a:xfrm>
            <a:off x="6752851" y="7327595"/>
            <a:ext cx="815553" cy="270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2</a:t>
            </a:r>
          </a:p>
        </xdr:txBody>
      </xdr:sp>
    </xdr:grpSp>
    <xdr:clientData/>
  </xdr:twoCellAnchor>
  <xdr:oneCellAnchor>
    <xdr:from>
      <xdr:col>7</xdr:col>
      <xdr:colOff>95494</xdr:colOff>
      <xdr:row>40</xdr:row>
      <xdr:rowOff>69848</xdr:rowOff>
    </xdr:from>
    <xdr:ext cx="621965" cy="318036"/>
    <mc:AlternateContent xmlns:mc="http://schemas.openxmlformats.org/markup-compatibility/2006" xmlns:a14="http://schemas.microsoft.com/office/drawing/2010/main">
      <mc:Choice Requires="a14">
        <xdr:sp macro="" textlink="">
          <xdr:nvSpPr>
            <xdr:cNvPr id="8" name="CuadroTexto 8">
              <a:extLst>
                <a:ext uri="{FF2B5EF4-FFF2-40B4-BE49-F238E27FC236}">
                  <a16:creationId xmlns:a16="http://schemas.microsoft.com/office/drawing/2014/main" id="{8444928A-38BB-4859-B87E-0126F507F0F3}"/>
                </a:ext>
              </a:extLst>
            </xdr:cNvPr>
            <xdr:cNvSpPr txBox="1"/>
          </xdr:nvSpPr>
          <xdr:spPr>
            <a:xfrm>
              <a:off x="9487144" y="7651748"/>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100" b="0" i="0">
                        <a:solidFill>
                          <a:schemeClr val="bg1"/>
                        </a:solidFill>
                        <a:latin typeface="Cambria Math" panose="02040503050406030204" pitchFamily="18" charset="0"/>
                      </a:rPr>
                      <m:t>U</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 </m:t>
                        </m:r>
                        <m:r>
                          <a:rPr lang="es-MX" sz="1100" b="0" i="1">
                            <a:solidFill>
                              <a:schemeClr val="bg1"/>
                            </a:solidFill>
                            <a:latin typeface="Cambria Math" panose="02040503050406030204" pitchFamily="18" charset="0"/>
                          </a:rPr>
                          <m:t>𝑡𝑜𝑡</m:t>
                        </m:r>
                      </m:den>
                    </m:f>
                  </m:oMath>
                </m:oMathPara>
              </a14:m>
              <a:endParaRPr lang="es-CL" sz="1100">
                <a:solidFill>
                  <a:schemeClr val="bg1"/>
                </a:solidFill>
              </a:endParaRPr>
            </a:p>
          </xdr:txBody>
        </xdr:sp>
      </mc:Choice>
      <mc:Fallback xmlns="">
        <xdr:sp macro="" textlink="">
          <xdr:nvSpPr>
            <xdr:cNvPr id="8" name="CuadroTexto 8">
              <a:extLst>
                <a:ext uri="{FF2B5EF4-FFF2-40B4-BE49-F238E27FC236}">
                  <a16:creationId xmlns:a16="http://schemas.microsoft.com/office/drawing/2014/main" id="{8444928A-38BB-4859-B87E-0126F507F0F3}"/>
                </a:ext>
              </a:extLst>
            </xdr:cNvPr>
            <xdr:cNvSpPr txBox="1"/>
          </xdr:nvSpPr>
          <xdr:spPr>
            <a:xfrm>
              <a:off x="9487144" y="7651748"/>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solidFill>
                    <a:schemeClr val="bg1"/>
                  </a:solidFill>
                  <a:latin typeface="Cambria Math" panose="02040503050406030204" pitchFamily="18" charset="0"/>
                </a:rPr>
                <a:t>U</a:t>
              </a:r>
              <a:r>
                <a:rPr lang="es-CL" sz="1100" i="0">
                  <a:solidFill>
                    <a:schemeClr val="bg1"/>
                  </a:solidFill>
                  <a:latin typeface="Cambria Math" panose="02040503050406030204" pitchFamily="18" charset="0"/>
                </a:rPr>
                <a:t>=1/(𝑅</a:t>
              </a:r>
              <a:r>
                <a:rPr lang="es-MX" sz="1100" b="0" i="0">
                  <a:solidFill>
                    <a:schemeClr val="bg1"/>
                  </a:solidFill>
                  <a:latin typeface="Cambria Math" panose="02040503050406030204" pitchFamily="18" charset="0"/>
                </a:rPr>
                <a:t> 𝑡𝑜𝑡</a:t>
              </a:r>
              <a:r>
                <a:rPr lang="es-CL" sz="1100" b="0" i="0">
                  <a:solidFill>
                    <a:schemeClr val="bg1"/>
                  </a:solidFill>
                  <a:latin typeface="Cambria Math" panose="02040503050406030204" pitchFamily="18" charset="0"/>
                </a:rPr>
                <a:t>)</a:t>
              </a:r>
              <a:endParaRPr lang="es-CL" sz="1100">
                <a:solidFill>
                  <a:schemeClr val="bg1"/>
                </a:solidFill>
              </a:endParaRPr>
            </a:p>
          </xdr:txBody>
        </xdr:sp>
      </mc:Fallback>
    </mc:AlternateContent>
    <xdr:clientData/>
  </xdr:oneCellAnchor>
  <xdr:oneCellAnchor>
    <xdr:from>
      <xdr:col>7</xdr:col>
      <xdr:colOff>1380122</xdr:colOff>
      <xdr:row>40</xdr:row>
      <xdr:rowOff>74195</xdr:rowOff>
    </xdr:from>
    <xdr:ext cx="1492396" cy="318100"/>
    <mc:AlternateContent xmlns:mc="http://schemas.openxmlformats.org/markup-compatibility/2006" xmlns:a14="http://schemas.microsoft.com/office/drawing/2010/main">
      <mc:Choice Requires="a14">
        <xdr:sp macro="" textlink="">
          <xdr:nvSpPr>
            <xdr:cNvPr id="9" name="CuadroTexto 9">
              <a:extLst>
                <a:ext uri="{FF2B5EF4-FFF2-40B4-BE49-F238E27FC236}">
                  <a16:creationId xmlns:a16="http://schemas.microsoft.com/office/drawing/2014/main" id="{E4AD9FA4-BA9E-4213-9658-7814A776481E}"/>
                </a:ext>
              </a:extLst>
            </xdr:cNvPr>
            <xdr:cNvSpPr txBox="1"/>
          </xdr:nvSpPr>
          <xdr:spPr>
            <a:xfrm>
              <a:off x="10771772" y="7656095"/>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𝑡</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𝑈</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𝑠𝑖</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ⅇ</m:t>
                        </m:r>
                      </m:num>
                      <m:den>
                        <m:r>
                          <a:rPr lang="es-CL" sz="1100" i="1">
                            <a:solidFill>
                              <a:schemeClr val="bg1"/>
                            </a:solidFill>
                            <a:latin typeface="Cambria Math" panose="02040503050406030204" pitchFamily="18" charset="0"/>
                          </a:rPr>
                          <m:t>𝜆</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𝑠𝑒</m:t>
                    </m:r>
                  </m:oMath>
                </m:oMathPara>
              </a14:m>
              <a:endParaRPr lang="es-CL" sz="1100">
                <a:solidFill>
                  <a:schemeClr val="bg1"/>
                </a:solidFill>
              </a:endParaRPr>
            </a:p>
          </xdr:txBody>
        </xdr:sp>
      </mc:Choice>
      <mc:Fallback xmlns="">
        <xdr:sp macro="" textlink="">
          <xdr:nvSpPr>
            <xdr:cNvPr id="9" name="CuadroTexto 9">
              <a:extLst>
                <a:ext uri="{FF2B5EF4-FFF2-40B4-BE49-F238E27FC236}">
                  <a16:creationId xmlns:a16="http://schemas.microsoft.com/office/drawing/2014/main" id="{E4AD9FA4-BA9E-4213-9658-7814A776481E}"/>
                </a:ext>
              </a:extLst>
            </xdr:cNvPr>
            <xdr:cNvSpPr txBox="1"/>
          </xdr:nvSpPr>
          <xdr:spPr>
            <a:xfrm>
              <a:off x="10771772" y="7656095"/>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L" sz="1100" i="0">
                  <a:solidFill>
                    <a:schemeClr val="bg1"/>
                  </a:solidFill>
                  <a:latin typeface="Cambria Math" panose="02040503050406030204" pitchFamily="18" charset="0"/>
                </a:rPr>
                <a:t>𝑅</a:t>
              </a:r>
              <a:r>
                <a:rPr lang="es-MX" sz="1100" b="0" i="0">
                  <a:solidFill>
                    <a:schemeClr val="bg1"/>
                  </a:solidFill>
                  <a:latin typeface="Cambria Math" panose="02040503050406030204" pitchFamily="18" charset="0"/>
                </a:rPr>
                <a:t>𝑡</a:t>
              </a:r>
              <a:r>
                <a:rPr lang="es-CL" sz="1100" i="0">
                  <a:solidFill>
                    <a:schemeClr val="bg1"/>
                  </a:solidFill>
                  <a:latin typeface="Cambria Math" panose="02040503050406030204" pitchFamily="18" charset="0"/>
                </a:rPr>
                <a:t>=1/𝑈=𝑅</a:t>
              </a:r>
              <a:r>
                <a:rPr lang="es-MX" sz="1100" b="0" i="0">
                  <a:solidFill>
                    <a:schemeClr val="bg1"/>
                  </a:solidFill>
                  <a:latin typeface="Cambria Math" panose="02040503050406030204" pitchFamily="18" charset="0"/>
                </a:rPr>
                <a:t>𝑠𝑖</a:t>
              </a:r>
              <a:r>
                <a:rPr lang="es-CL" sz="1100" i="0">
                  <a:solidFill>
                    <a:schemeClr val="bg1"/>
                  </a:solidFill>
                  <a:latin typeface="Cambria Math" panose="02040503050406030204" pitchFamily="18" charset="0"/>
                </a:rPr>
                <a:t>+ⅇ/𝜆+𝑅</a:t>
              </a:r>
              <a:r>
                <a:rPr lang="es-MX" sz="1100" b="0" i="0">
                  <a:solidFill>
                    <a:schemeClr val="bg1"/>
                  </a:solidFill>
                  <a:latin typeface="Cambria Math" panose="02040503050406030204" pitchFamily="18" charset="0"/>
                </a:rPr>
                <a:t>𝑠𝑒</a:t>
              </a:r>
              <a:endParaRPr lang="es-CL" sz="1100">
                <a:solidFill>
                  <a:schemeClr val="bg1"/>
                </a:solidFill>
              </a:endParaRPr>
            </a:p>
          </xdr:txBody>
        </xdr:sp>
      </mc:Fallback>
    </mc:AlternateContent>
    <xdr:clientData/>
  </xdr:oneCellAnchor>
  <xdr:oneCellAnchor>
    <xdr:from>
      <xdr:col>7</xdr:col>
      <xdr:colOff>95494</xdr:colOff>
      <xdr:row>107</xdr:row>
      <xdr:rowOff>69848</xdr:rowOff>
    </xdr:from>
    <xdr:ext cx="621965" cy="318036"/>
    <mc:AlternateContent xmlns:mc="http://schemas.openxmlformats.org/markup-compatibility/2006" xmlns:a14="http://schemas.microsoft.com/office/drawing/2010/main">
      <mc:Choice Requires="a14">
        <xdr:sp macro="" textlink="">
          <xdr:nvSpPr>
            <xdr:cNvPr id="10" name="CuadroTexto 10">
              <a:extLst>
                <a:ext uri="{FF2B5EF4-FFF2-40B4-BE49-F238E27FC236}">
                  <a16:creationId xmlns:a16="http://schemas.microsoft.com/office/drawing/2014/main" id="{F9B49FE3-4C13-4482-9C39-93C24B0756FE}"/>
                </a:ext>
              </a:extLst>
            </xdr:cNvPr>
            <xdr:cNvSpPr txBox="1"/>
          </xdr:nvSpPr>
          <xdr:spPr>
            <a:xfrm>
              <a:off x="9487144" y="19605623"/>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100" b="0" i="0">
                        <a:solidFill>
                          <a:schemeClr val="bg1"/>
                        </a:solidFill>
                        <a:latin typeface="Cambria Math" panose="02040503050406030204" pitchFamily="18" charset="0"/>
                      </a:rPr>
                      <m:t>U</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 </m:t>
                        </m:r>
                        <m:r>
                          <a:rPr lang="es-MX" sz="1100" b="0" i="1">
                            <a:solidFill>
                              <a:schemeClr val="bg1"/>
                            </a:solidFill>
                            <a:latin typeface="Cambria Math" panose="02040503050406030204" pitchFamily="18" charset="0"/>
                          </a:rPr>
                          <m:t>𝑡𝑜𝑡</m:t>
                        </m:r>
                      </m:den>
                    </m:f>
                  </m:oMath>
                </m:oMathPara>
              </a14:m>
              <a:endParaRPr lang="es-CL" sz="1100">
                <a:solidFill>
                  <a:schemeClr val="bg1"/>
                </a:solidFill>
              </a:endParaRPr>
            </a:p>
          </xdr:txBody>
        </xdr:sp>
      </mc:Choice>
      <mc:Fallback xmlns="">
        <xdr:sp macro="" textlink="">
          <xdr:nvSpPr>
            <xdr:cNvPr id="10" name="CuadroTexto 10">
              <a:extLst>
                <a:ext uri="{FF2B5EF4-FFF2-40B4-BE49-F238E27FC236}">
                  <a16:creationId xmlns:a16="http://schemas.microsoft.com/office/drawing/2014/main" id="{F9B49FE3-4C13-4482-9C39-93C24B0756FE}"/>
                </a:ext>
              </a:extLst>
            </xdr:cNvPr>
            <xdr:cNvSpPr txBox="1"/>
          </xdr:nvSpPr>
          <xdr:spPr>
            <a:xfrm>
              <a:off x="9487144" y="19605623"/>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solidFill>
                    <a:schemeClr val="bg1"/>
                  </a:solidFill>
                  <a:latin typeface="Cambria Math" panose="02040503050406030204" pitchFamily="18" charset="0"/>
                </a:rPr>
                <a:t>U</a:t>
              </a:r>
              <a:r>
                <a:rPr lang="es-CL" sz="1100" i="0">
                  <a:solidFill>
                    <a:schemeClr val="bg1"/>
                  </a:solidFill>
                  <a:latin typeface="Cambria Math" panose="02040503050406030204" pitchFamily="18" charset="0"/>
                </a:rPr>
                <a:t>=1/(𝑅</a:t>
              </a:r>
              <a:r>
                <a:rPr lang="es-MX" sz="1100" b="0" i="0">
                  <a:solidFill>
                    <a:schemeClr val="bg1"/>
                  </a:solidFill>
                  <a:latin typeface="Cambria Math" panose="02040503050406030204" pitchFamily="18" charset="0"/>
                </a:rPr>
                <a:t> 𝑡𝑜𝑡</a:t>
              </a:r>
              <a:r>
                <a:rPr lang="es-CL" sz="1100" b="0" i="0">
                  <a:solidFill>
                    <a:schemeClr val="bg1"/>
                  </a:solidFill>
                  <a:latin typeface="Cambria Math" panose="02040503050406030204" pitchFamily="18" charset="0"/>
                </a:rPr>
                <a:t>)</a:t>
              </a:r>
              <a:endParaRPr lang="es-CL" sz="1100">
                <a:solidFill>
                  <a:schemeClr val="bg1"/>
                </a:solidFill>
              </a:endParaRPr>
            </a:p>
          </xdr:txBody>
        </xdr:sp>
      </mc:Fallback>
    </mc:AlternateContent>
    <xdr:clientData/>
  </xdr:oneCellAnchor>
  <xdr:oneCellAnchor>
    <xdr:from>
      <xdr:col>7</xdr:col>
      <xdr:colOff>1380122</xdr:colOff>
      <xdr:row>107</xdr:row>
      <xdr:rowOff>74195</xdr:rowOff>
    </xdr:from>
    <xdr:ext cx="1492396" cy="318100"/>
    <mc:AlternateContent xmlns:mc="http://schemas.openxmlformats.org/markup-compatibility/2006" xmlns:a14="http://schemas.microsoft.com/office/drawing/2010/main">
      <mc:Choice Requires="a14">
        <xdr:sp macro="" textlink="">
          <xdr:nvSpPr>
            <xdr:cNvPr id="11" name="CuadroTexto 11">
              <a:extLst>
                <a:ext uri="{FF2B5EF4-FFF2-40B4-BE49-F238E27FC236}">
                  <a16:creationId xmlns:a16="http://schemas.microsoft.com/office/drawing/2014/main" id="{F14BCE92-E288-453F-A5AB-A06FC9A66C12}"/>
                </a:ext>
              </a:extLst>
            </xdr:cNvPr>
            <xdr:cNvSpPr txBox="1"/>
          </xdr:nvSpPr>
          <xdr:spPr>
            <a:xfrm>
              <a:off x="10771772" y="19609970"/>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𝑡</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𝑈</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𝑠𝑖</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ⅇ</m:t>
                        </m:r>
                      </m:num>
                      <m:den>
                        <m:r>
                          <a:rPr lang="es-CL" sz="1100" i="1">
                            <a:solidFill>
                              <a:schemeClr val="bg1"/>
                            </a:solidFill>
                            <a:latin typeface="Cambria Math" panose="02040503050406030204" pitchFamily="18" charset="0"/>
                          </a:rPr>
                          <m:t>𝜆</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𝑠𝑒</m:t>
                    </m:r>
                  </m:oMath>
                </m:oMathPara>
              </a14:m>
              <a:endParaRPr lang="es-CL" sz="1100">
                <a:solidFill>
                  <a:schemeClr val="bg1"/>
                </a:solidFill>
              </a:endParaRPr>
            </a:p>
          </xdr:txBody>
        </xdr:sp>
      </mc:Choice>
      <mc:Fallback xmlns="">
        <xdr:sp macro="" textlink="">
          <xdr:nvSpPr>
            <xdr:cNvPr id="11" name="CuadroTexto 11">
              <a:extLst>
                <a:ext uri="{FF2B5EF4-FFF2-40B4-BE49-F238E27FC236}">
                  <a16:creationId xmlns:a16="http://schemas.microsoft.com/office/drawing/2014/main" id="{F14BCE92-E288-453F-A5AB-A06FC9A66C12}"/>
                </a:ext>
              </a:extLst>
            </xdr:cNvPr>
            <xdr:cNvSpPr txBox="1"/>
          </xdr:nvSpPr>
          <xdr:spPr>
            <a:xfrm>
              <a:off x="10771772" y="19609970"/>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L" sz="1100" i="0">
                  <a:solidFill>
                    <a:schemeClr val="bg1"/>
                  </a:solidFill>
                  <a:latin typeface="Cambria Math" panose="02040503050406030204" pitchFamily="18" charset="0"/>
                </a:rPr>
                <a:t>𝑅</a:t>
              </a:r>
              <a:r>
                <a:rPr lang="es-MX" sz="1100" b="0" i="0">
                  <a:solidFill>
                    <a:schemeClr val="bg1"/>
                  </a:solidFill>
                  <a:latin typeface="Cambria Math" panose="02040503050406030204" pitchFamily="18" charset="0"/>
                </a:rPr>
                <a:t>𝑡</a:t>
              </a:r>
              <a:r>
                <a:rPr lang="es-CL" sz="1100" i="0">
                  <a:solidFill>
                    <a:schemeClr val="bg1"/>
                  </a:solidFill>
                  <a:latin typeface="Cambria Math" panose="02040503050406030204" pitchFamily="18" charset="0"/>
                </a:rPr>
                <a:t>=1/𝑈=𝑅</a:t>
              </a:r>
              <a:r>
                <a:rPr lang="es-MX" sz="1100" b="0" i="0">
                  <a:solidFill>
                    <a:schemeClr val="bg1"/>
                  </a:solidFill>
                  <a:latin typeface="Cambria Math" panose="02040503050406030204" pitchFamily="18" charset="0"/>
                </a:rPr>
                <a:t>𝑠𝑖</a:t>
              </a:r>
              <a:r>
                <a:rPr lang="es-CL" sz="1100" i="0">
                  <a:solidFill>
                    <a:schemeClr val="bg1"/>
                  </a:solidFill>
                  <a:latin typeface="Cambria Math" panose="02040503050406030204" pitchFamily="18" charset="0"/>
                </a:rPr>
                <a:t>+ⅇ/𝜆+𝑅</a:t>
              </a:r>
              <a:r>
                <a:rPr lang="es-MX" sz="1100" b="0" i="0">
                  <a:solidFill>
                    <a:schemeClr val="bg1"/>
                  </a:solidFill>
                  <a:latin typeface="Cambria Math" panose="02040503050406030204" pitchFamily="18" charset="0"/>
                </a:rPr>
                <a:t>𝑠𝑒</a:t>
              </a:r>
              <a:endParaRPr lang="es-CL" sz="1100">
                <a:solidFill>
                  <a:schemeClr val="bg1"/>
                </a:solidFill>
              </a:endParaRP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xdr:from>
      <xdr:col>6</xdr:col>
      <xdr:colOff>147863</xdr:colOff>
      <xdr:row>66</xdr:row>
      <xdr:rowOff>67871</xdr:rowOff>
    </xdr:from>
    <xdr:to>
      <xdr:col>11</xdr:col>
      <xdr:colOff>624113</xdr:colOff>
      <xdr:row>92</xdr:row>
      <xdr:rowOff>84397</xdr:rowOff>
    </xdr:to>
    <xdr:grpSp>
      <xdr:nvGrpSpPr>
        <xdr:cNvPr id="14" name="Grupo 13">
          <a:extLst>
            <a:ext uri="{FF2B5EF4-FFF2-40B4-BE49-F238E27FC236}">
              <a16:creationId xmlns:a16="http://schemas.microsoft.com/office/drawing/2014/main" id="{D093688C-3A5A-23D4-E685-8FD72F76B2E9}"/>
            </a:ext>
          </a:extLst>
        </xdr:cNvPr>
        <xdr:cNvGrpSpPr/>
      </xdr:nvGrpSpPr>
      <xdr:grpSpPr>
        <a:xfrm>
          <a:off x="9987188" y="12783746"/>
          <a:ext cx="5019675" cy="4655201"/>
          <a:chOff x="6511554" y="6901090"/>
          <a:chExt cx="3234271" cy="4449740"/>
        </a:xfrm>
      </xdr:grpSpPr>
      <xdr:pic>
        <xdr:nvPicPr>
          <xdr:cNvPr id="8" name="Picture 36" descr="Ein Bild, das Baumaterial, Gebäude, Ziegelstein, aus Holz enthält.&#10;&#10;Automatisch generierte Beschreibung">
            <a:extLst>
              <a:ext uri="{FF2B5EF4-FFF2-40B4-BE49-F238E27FC236}">
                <a16:creationId xmlns:a16="http://schemas.microsoft.com/office/drawing/2014/main" id="{84F4EADF-D982-43B8-D4AD-FF0B47C8ED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554" y="6901090"/>
            <a:ext cx="3234271" cy="4449740"/>
          </a:xfrm>
          <a:prstGeom prst="rect">
            <a:avLst/>
          </a:prstGeom>
          <a:ln>
            <a:solidFill>
              <a:srgbClr val="FF7C80"/>
            </a:solidFill>
          </a:ln>
        </xdr:spPr>
      </xdr:pic>
      <xdr:sp macro="" textlink="">
        <xdr:nvSpPr>
          <xdr:cNvPr id="10" name="Forma libre: forma 9">
            <a:extLst>
              <a:ext uri="{FF2B5EF4-FFF2-40B4-BE49-F238E27FC236}">
                <a16:creationId xmlns:a16="http://schemas.microsoft.com/office/drawing/2014/main" id="{B51EAF8E-BC51-CCE3-B3FD-6C7215EF1024}"/>
              </a:ext>
            </a:extLst>
          </xdr:cNvPr>
          <xdr:cNvSpPr/>
        </xdr:nvSpPr>
        <xdr:spPr>
          <a:xfrm>
            <a:off x="7666790" y="7594647"/>
            <a:ext cx="568012" cy="3254549"/>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11" name="Forma libre: forma 10">
            <a:extLst>
              <a:ext uri="{FF2B5EF4-FFF2-40B4-BE49-F238E27FC236}">
                <a16:creationId xmlns:a16="http://schemas.microsoft.com/office/drawing/2014/main" id="{8D9804EB-71F6-F19B-5987-D52644321B64}"/>
              </a:ext>
            </a:extLst>
          </xdr:cNvPr>
          <xdr:cNvSpPr/>
        </xdr:nvSpPr>
        <xdr:spPr>
          <a:xfrm>
            <a:off x="8239687" y="7282728"/>
            <a:ext cx="568012" cy="3259434"/>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12" name="CuadroTexto 11">
            <a:extLst>
              <a:ext uri="{FF2B5EF4-FFF2-40B4-BE49-F238E27FC236}">
                <a16:creationId xmlns:a16="http://schemas.microsoft.com/office/drawing/2014/main" id="{805E729C-BC38-2E3D-E0A1-CF5FB50AAF5C}"/>
              </a:ext>
            </a:extLst>
          </xdr:cNvPr>
          <xdr:cNvSpPr txBox="1"/>
        </xdr:nvSpPr>
        <xdr:spPr>
          <a:xfrm>
            <a:off x="7377722" y="6966553"/>
            <a:ext cx="815555" cy="267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1</a:t>
            </a:r>
          </a:p>
        </xdr:txBody>
      </xdr:sp>
      <xdr:sp macro="" textlink="">
        <xdr:nvSpPr>
          <xdr:cNvPr id="13" name="CuadroTexto 12">
            <a:extLst>
              <a:ext uri="{FF2B5EF4-FFF2-40B4-BE49-F238E27FC236}">
                <a16:creationId xmlns:a16="http://schemas.microsoft.com/office/drawing/2014/main" id="{BCC11B07-F282-B2C7-FF3D-61E60A50FD06}"/>
              </a:ext>
            </a:extLst>
          </xdr:cNvPr>
          <xdr:cNvSpPr txBox="1"/>
        </xdr:nvSpPr>
        <xdr:spPr>
          <a:xfrm>
            <a:off x="6752851" y="7327595"/>
            <a:ext cx="815553" cy="270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2</a:t>
            </a:r>
          </a:p>
        </xdr:txBody>
      </xdr:sp>
    </xdr:grpSp>
    <xdr:clientData/>
  </xdr:twoCellAnchor>
  <xdr:twoCellAnchor editAs="oneCell">
    <xdr:from>
      <xdr:col>12</xdr:col>
      <xdr:colOff>486416</xdr:colOff>
      <xdr:row>41</xdr:row>
      <xdr:rowOff>52921</xdr:rowOff>
    </xdr:from>
    <xdr:to>
      <xdr:col>49</xdr:col>
      <xdr:colOff>162915</xdr:colOff>
      <xdr:row>51</xdr:row>
      <xdr:rowOff>134218</xdr:rowOff>
    </xdr:to>
    <xdr:pic>
      <xdr:nvPicPr>
        <xdr:cNvPr id="2" name="Imagen 1">
          <a:extLst>
            <a:ext uri="{FF2B5EF4-FFF2-40B4-BE49-F238E27FC236}">
              <a16:creationId xmlns:a16="http://schemas.microsoft.com/office/drawing/2014/main" id="{F9EF7421-AEF6-FB41-86E9-2AAF2A0F5E97}"/>
            </a:ext>
          </a:extLst>
        </xdr:cNvPr>
        <xdr:cNvPicPr>
          <a:picLocks noChangeAspect="1"/>
        </xdr:cNvPicPr>
      </xdr:nvPicPr>
      <xdr:blipFill>
        <a:blip xmlns:r="http://schemas.openxmlformats.org/officeDocument/2006/relationships" r:embed="rId2"/>
        <a:stretch>
          <a:fillRect/>
        </a:stretch>
      </xdr:blipFill>
      <xdr:spPr>
        <a:xfrm>
          <a:off x="16955141" y="8011059"/>
          <a:ext cx="5682013" cy="1867235"/>
        </a:xfrm>
        <a:prstGeom prst="rect">
          <a:avLst/>
        </a:prstGeom>
        <a:ln>
          <a:solidFill>
            <a:srgbClr val="FF7C80"/>
          </a:solidFill>
        </a:ln>
      </xdr:spPr>
    </xdr:pic>
    <xdr:clientData/>
  </xdr:twoCellAnchor>
  <xdr:oneCellAnchor>
    <xdr:from>
      <xdr:col>7</xdr:col>
      <xdr:colOff>95494</xdr:colOff>
      <xdr:row>43</xdr:row>
      <xdr:rowOff>69848</xdr:rowOff>
    </xdr:from>
    <xdr:ext cx="621965" cy="31803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17F3883B-8579-23F2-E80C-E6CD763C6853}"/>
                </a:ext>
              </a:extLst>
            </xdr:cNvPr>
            <xdr:cNvSpPr txBox="1"/>
          </xdr:nvSpPr>
          <xdr:spPr>
            <a:xfrm>
              <a:off x="8807206" y="6759329"/>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100" b="0" i="0">
                        <a:solidFill>
                          <a:schemeClr val="bg1"/>
                        </a:solidFill>
                        <a:latin typeface="Cambria Math" panose="02040503050406030204" pitchFamily="18" charset="0"/>
                      </a:rPr>
                      <m:t>U</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 </m:t>
                        </m:r>
                        <m:r>
                          <a:rPr lang="es-MX" sz="1100" b="0" i="1">
                            <a:solidFill>
                              <a:schemeClr val="bg1"/>
                            </a:solidFill>
                            <a:latin typeface="Cambria Math" panose="02040503050406030204" pitchFamily="18" charset="0"/>
                          </a:rPr>
                          <m:t>𝑡𝑜𝑡</m:t>
                        </m:r>
                      </m:den>
                    </m:f>
                  </m:oMath>
                </m:oMathPara>
              </a14:m>
              <a:endParaRPr lang="es-CL" sz="1100">
                <a:solidFill>
                  <a:schemeClr val="bg1"/>
                </a:solidFill>
              </a:endParaRPr>
            </a:p>
          </xdr:txBody>
        </xdr:sp>
      </mc:Choice>
      <mc:Fallback xmlns="">
        <xdr:sp macro="" textlink="">
          <xdr:nvSpPr>
            <xdr:cNvPr id="4" name="CuadroTexto 3">
              <a:extLst>
                <a:ext uri="{FF2B5EF4-FFF2-40B4-BE49-F238E27FC236}">
                  <a16:creationId xmlns:a16="http://schemas.microsoft.com/office/drawing/2014/main" id="{17F3883B-8579-23F2-E80C-E6CD763C6853}"/>
                </a:ext>
              </a:extLst>
            </xdr:cNvPr>
            <xdr:cNvSpPr txBox="1"/>
          </xdr:nvSpPr>
          <xdr:spPr>
            <a:xfrm>
              <a:off x="8807206" y="6759329"/>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solidFill>
                    <a:schemeClr val="bg1"/>
                  </a:solidFill>
                  <a:latin typeface="Cambria Math" panose="02040503050406030204" pitchFamily="18" charset="0"/>
                </a:rPr>
                <a:t>U</a:t>
              </a:r>
              <a:r>
                <a:rPr lang="es-CL" sz="1100" i="0">
                  <a:solidFill>
                    <a:schemeClr val="bg1"/>
                  </a:solidFill>
                  <a:latin typeface="Cambria Math" panose="02040503050406030204" pitchFamily="18" charset="0"/>
                </a:rPr>
                <a:t>=1/(𝑅</a:t>
              </a:r>
              <a:r>
                <a:rPr lang="es-MX" sz="1100" b="0" i="0">
                  <a:solidFill>
                    <a:schemeClr val="bg1"/>
                  </a:solidFill>
                  <a:latin typeface="Cambria Math" panose="02040503050406030204" pitchFamily="18" charset="0"/>
                </a:rPr>
                <a:t> 𝑡𝑜𝑡</a:t>
              </a:r>
              <a:r>
                <a:rPr lang="es-CL" sz="1100" b="0" i="0">
                  <a:solidFill>
                    <a:schemeClr val="bg1"/>
                  </a:solidFill>
                  <a:latin typeface="Cambria Math" panose="02040503050406030204" pitchFamily="18" charset="0"/>
                </a:rPr>
                <a:t>)</a:t>
              </a:r>
              <a:endParaRPr lang="es-CL" sz="1100">
                <a:solidFill>
                  <a:schemeClr val="bg1"/>
                </a:solidFill>
              </a:endParaRPr>
            </a:p>
          </xdr:txBody>
        </xdr:sp>
      </mc:Fallback>
    </mc:AlternateContent>
    <xdr:clientData/>
  </xdr:oneCellAnchor>
  <xdr:oneCellAnchor>
    <xdr:from>
      <xdr:col>7</xdr:col>
      <xdr:colOff>1380122</xdr:colOff>
      <xdr:row>43</xdr:row>
      <xdr:rowOff>74195</xdr:rowOff>
    </xdr:from>
    <xdr:ext cx="1492396" cy="318100"/>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BF971641-1CBC-CDEA-C7DB-7E9BB1E19FAD}"/>
                </a:ext>
              </a:extLst>
            </xdr:cNvPr>
            <xdr:cNvSpPr txBox="1"/>
          </xdr:nvSpPr>
          <xdr:spPr>
            <a:xfrm>
              <a:off x="10082964" y="6746708"/>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𝑡</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𝑈</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𝑠𝑖</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ⅇ</m:t>
                        </m:r>
                      </m:num>
                      <m:den>
                        <m:r>
                          <a:rPr lang="es-CL" sz="1100" i="1">
                            <a:solidFill>
                              <a:schemeClr val="bg1"/>
                            </a:solidFill>
                            <a:latin typeface="Cambria Math" panose="02040503050406030204" pitchFamily="18" charset="0"/>
                          </a:rPr>
                          <m:t>𝜆</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𝑠𝑒</m:t>
                    </m:r>
                  </m:oMath>
                </m:oMathPara>
              </a14:m>
              <a:endParaRPr lang="es-CL" sz="1100">
                <a:solidFill>
                  <a:schemeClr val="bg1"/>
                </a:solidFill>
              </a:endParaRPr>
            </a:p>
          </xdr:txBody>
        </xdr:sp>
      </mc:Choice>
      <mc:Fallback xmlns="">
        <xdr:sp macro="" textlink="">
          <xdr:nvSpPr>
            <xdr:cNvPr id="6" name="CuadroTexto 5">
              <a:extLst>
                <a:ext uri="{FF2B5EF4-FFF2-40B4-BE49-F238E27FC236}">
                  <a16:creationId xmlns:a16="http://schemas.microsoft.com/office/drawing/2014/main" id="{BF971641-1CBC-CDEA-C7DB-7E9BB1E19FAD}"/>
                </a:ext>
              </a:extLst>
            </xdr:cNvPr>
            <xdr:cNvSpPr txBox="1"/>
          </xdr:nvSpPr>
          <xdr:spPr>
            <a:xfrm>
              <a:off x="10082964" y="6746708"/>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L" sz="1100" i="0">
                  <a:solidFill>
                    <a:schemeClr val="bg1"/>
                  </a:solidFill>
                  <a:latin typeface="Cambria Math" panose="02040503050406030204" pitchFamily="18" charset="0"/>
                </a:rPr>
                <a:t>𝑅</a:t>
              </a:r>
              <a:r>
                <a:rPr lang="es-MX" sz="1100" b="0" i="0">
                  <a:solidFill>
                    <a:schemeClr val="bg1"/>
                  </a:solidFill>
                  <a:latin typeface="Cambria Math" panose="02040503050406030204" pitchFamily="18" charset="0"/>
                </a:rPr>
                <a:t>𝑡</a:t>
              </a:r>
              <a:r>
                <a:rPr lang="es-CL" sz="1100" i="0">
                  <a:solidFill>
                    <a:schemeClr val="bg1"/>
                  </a:solidFill>
                  <a:latin typeface="Cambria Math" panose="02040503050406030204" pitchFamily="18" charset="0"/>
                </a:rPr>
                <a:t>=1/𝑈=𝑅</a:t>
              </a:r>
              <a:r>
                <a:rPr lang="es-MX" sz="1100" b="0" i="0">
                  <a:solidFill>
                    <a:schemeClr val="bg1"/>
                  </a:solidFill>
                  <a:latin typeface="Cambria Math" panose="02040503050406030204" pitchFamily="18" charset="0"/>
                </a:rPr>
                <a:t>𝑠𝑖</a:t>
              </a:r>
              <a:r>
                <a:rPr lang="es-CL" sz="1100" i="0">
                  <a:solidFill>
                    <a:schemeClr val="bg1"/>
                  </a:solidFill>
                  <a:latin typeface="Cambria Math" panose="02040503050406030204" pitchFamily="18" charset="0"/>
                </a:rPr>
                <a:t>+ⅇ/𝜆+𝑅</a:t>
              </a:r>
              <a:r>
                <a:rPr lang="es-MX" sz="1100" b="0" i="0">
                  <a:solidFill>
                    <a:schemeClr val="bg1"/>
                  </a:solidFill>
                  <a:latin typeface="Cambria Math" panose="02040503050406030204" pitchFamily="18" charset="0"/>
                </a:rPr>
                <a:t>𝑠𝑒</a:t>
              </a:r>
              <a:endParaRPr lang="es-CL" sz="1100">
                <a:solidFill>
                  <a:schemeClr val="bg1"/>
                </a:solidFill>
              </a:endParaRPr>
            </a:p>
          </xdr:txBody>
        </xdr:sp>
      </mc:Fallback>
    </mc:AlternateContent>
    <xdr:clientData/>
  </xdr:oneCellAnchor>
  <xdr:oneCellAnchor>
    <xdr:from>
      <xdr:col>7</xdr:col>
      <xdr:colOff>95494</xdr:colOff>
      <xdr:row>110</xdr:row>
      <xdr:rowOff>69848</xdr:rowOff>
    </xdr:from>
    <xdr:ext cx="621965" cy="318036"/>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9FE7466C-D6AE-4324-AF41-07779A621BFE}"/>
                </a:ext>
              </a:extLst>
            </xdr:cNvPr>
            <xdr:cNvSpPr txBox="1"/>
          </xdr:nvSpPr>
          <xdr:spPr>
            <a:xfrm>
              <a:off x="8817673" y="6856637"/>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100" b="0" i="0">
                        <a:solidFill>
                          <a:schemeClr val="bg1"/>
                        </a:solidFill>
                        <a:latin typeface="Cambria Math" panose="02040503050406030204" pitchFamily="18" charset="0"/>
                      </a:rPr>
                      <m:t>U</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 </m:t>
                        </m:r>
                        <m:r>
                          <a:rPr lang="es-MX" sz="1100" b="0" i="1">
                            <a:solidFill>
                              <a:schemeClr val="bg1"/>
                            </a:solidFill>
                            <a:latin typeface="Cambria Math" panose="02040503050406030204" pitchFamily="18" charset="0"/>
                          </a:rPr>
                          <m:t>𝑡𝑜𝑡</m:t>
                        </m:r>
                      </m:den>
                    </m:f>
                  </m:oMath>
                </m:oMathPara>
              </a14:m>
              <a:endParaRPr lang="es-CL" sz="1100">
                <a:solidFill>
                  <a:schemeClr val="bg1"/>
                </a:solidFill>
              </a:endParaRPr>
            </a:p>
          </xdr:txBody>
        </xdr:sp>
      </mc:Choice>
      <mc:Fallback xmlns="">
        <xdr:sp macro="" textlink="">
          <xdr:nvSpPr>
            <xdr:cNvPr id="7" name="CuadroTexto 6">
              <a:extLst>
                <a:ext uri="{FF2B5EF4-FFF2-40B4-BE49-F238E27FC236}">
                  <a16:creationId xmlns:a16="http://schemas.microsoft.com/office/drawing/2014/main" id="{9FE7466C-D6AE-4324-AF41-07779A621BFE}"/>
                </a:ext>
              </a:extLst>
            </xdr:cNvPr>
            <xdr:cNvSpPr txBox="1"/>
          </xdr:nvSpPr>
          <xdr:spPr>
            <a:xfrm>
              <a:off x="8817673" y="6856637"/>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solidFill>
                    <a:schemeClr val="bg1"/>
                  </a:solidFill>
                  <a:latin typeface="Cambria Math" panose="02040503050406030204" pitchFamily="18" charset="0"/>
                </a:rPr>
                <a:t>U</a:t>
              </a:r>
              <a:r>
                <a:rPr lang="es-CL" sz="1100" i="0">
                  <a:solidFill>
                    <a:schemeClr val="bg1"/>
                  </a:solidFill>
                  <a:latin typeface="Cambria Math" panose="02040503050406030204" pitchFamily="18" charset="0"/>
                </a:rPr>
                <a:t>=1/(𝑅</a:t>
              </a:r>
              <a:r>
                <a:rPr lang="es-MX" sz="1100" b="0" i="0">
                  <a:solidFill>
                    <a:schemeClr val="bg1"/>
                  </a:solidFill>
                  <a:latin typeface="Cambria Math" panose="02040503050406030204" pitchFamily="18" charset="0"/>
                </a:rPr>
                <a:t> 𝑡𝑜𝑡</a:t>
              </a:r>
              <a:r>
                <a:rPr lang="es-CL" sz="1100" b="0" i="0">
                  <a:solidFill>
                    <a:schemeClr val="bg1"/>
                  </a:solidFill>
                  <a:latin typeface="Cambria Math" panose="02040503050406030204" pitchFamily="18" charset="0"/>
                </a:rPr>
                <a:t>)</a:t>
              </a:r>
              <a:endParaRPr lang="es-CL" sz="1100">
                <a:solidFill>
                  <a:schemeClr val="bg1"/>
                </a:solidFill>
              </a:endParaRPr>
            </a:p>
          </xdr:txBody>
        </xdr:sp>
      </mc:Fallback>
    </mc:AlternateContent>
    <xdr:clientData/>
  </xdr:oneCellAnchor>
  <xdr:oneCellAnchor>
    <xdr:from>
      <xdr:col>7</xdr:col>
      <xdr:colOff>1380122</xdr:colOff>
      <xdr:row>110</xdr:row>
      <xdr:rowOff>74195</xdr:rowOff>
    </xdr:from>
    <xdr:ext cx="1492396" cy="318100"/>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B865403C-AE3F-4F69-A9CC-36D58CBE7A61}"/>
                </a:ext>
              </a:extLst>
            </xdr:cNvPr>
            <xdr:cNvSpPr txBox="1"/>
          </xdr:nvSpPr>
          <xdr:spPr>
            <a:xfrm>
              <a:off x="10105476" y="6864159"/>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𝑡</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𝑈</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𝑠𝑖</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ⅇ</m:t>
                        </m:r>
                      </m:num>
                      <m:den>
                        <m:r>
                          <a:rPr lang="es-CL" sz="1100" i="1">
                            <a:solidFill>
                              <a:schemeClr val="bg1"/>
                            </a:solidFill>
                            <a:latin typeface="Cambria Math" panose="02040503050406030204" pitchFamily="18" charset="0"/>
                          </a:rPr>
                          <m:t>𝜆</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𝑠𝑒</m:t>
                    </m:r>
                  </m:oMath>
                </m:oMathPara>
              </a14:m>
              <a:endParaRPr lang="es-CL" sz="1100">
                <a:solidFill>
                  <a:schemeClr val="bg1"/>
                </a:solidFill>
              </a:endParaRPr>
            </a:p>
          </xdr:txBody>
        </xdr:sp>
      </mc:Choice>
      <mc:Fallback xmlns="">
        <xdr:sp macro="" textlink="">
          <xdr:nvSpPr>
            <xdr:cNvPr id="9" name="CuadroTexto 8">
              <a:extLst>
                <a:ext uri="{FF2B5EF4-FFF2-40B4-BE49-F238E27FC236}">
                  <a16:creationId xmlns:a16="http://schemas.microsoft.com/office/drawing/2014/main" id="{B865403C-AE3F-4F69-A9CC-36D58CBE7A61}"/>
                </a:ext>
              </a:extLst>
            </xdr:cNvPr>
            <xdr:cNvSpPr txBox="1"/>
          </xdr:nvSpPr>
          <xdr:spPr>
            <a:xfrm>
              <a:off x="10105476" y="6864159"/>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L" sz="1100" i="0">
                  <a:solidFill>
                    <a:schemeClr val="bg1"/>
                  </a:solidFill>
                  <a:latin typeface="Cambria Math" panose="02040503050406030204" pitchFamily="18" charset="0"/>
                </a:rPr>
                <a:t>𝑅</a:t>
              </a:r>
              <a:r>
                <a:rPr lang="es-MX" sz="1100" b="0" i="0">
                  <a:solidFill>
                    <a:schemeClr val="bg1"/>
                  </a:solidFill>
                  <a:latin typeface="Cambria Math" panose="02040503050406030204" pitchFamily="18" charset="0"/>
                </a:rPr>
                <a:t>𝑡</a:t>
              </a:r>
              <a:r>
                <a:rPr lang="es-CL" sz="1100" i="0">
                  <a:solidFill>
                    <a:schemeClr val="bg1"/>
                  </a:solidFill>
                  <a:latin typeface="Cambria Math" panose="02040503050406030204" pitchFamily="18" charset="0"/>
                </a:rPr>
                <a:t>=1/𝑈=𝑅</a:t>
              </a:r>
              <a:r>
                <a:rPr lang="es-MX" sz="1100" b="0" i="0">
                  <a:solidFill>
                    <a:schemeClr val="bg1"/>
                  </a:solidFill>
                  <a:latin typeface="Cambria Math" panose="02040503050406030204" pitchFamily="18" charset="0"/>
                </a:rPr>
                <a:t>𝑠𝑖</a:t>
              </a:r>
              <a:r>
                <a:rPr lang="es-CL" sz="1100" i="0">
                  <a:solidFill>
                    <a:schemeClr val="bg1"/>
                  </a:solidFill>
                  <a:latin typeface="Cambria Math" panose="02040503050406030204" pitchFamily="18" charset="0"/>
                </a:rPr>
                <a:t>+ⅇ/𝜆+𝑅</a:t>
              </a:r>
              <a:r>
                <a:rPr lang="es-MX" sz="1100" b="0" i="0">
                  <a:solidFill>
                    <a:schemeClr val="bg1"/>
                  </a:solidFill>
                  <a:latin typeface="Cambria Math" panose="02040503050406030204" pitchFamily="18" charset="0"/>
                </a:rPr>
                <a:t>𝑠𝑒</a:t>
              </a:r>
              <a:endParaRPr lang="es-CL" sz="1100">
                <a:solidFill>
                  <a:schemeClr val="bg1"/>
                </a:solidFill>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xdr:from>
      <xdr:col>34</xdr:col>
      <xdr:colOff>460375</xdr:colOff>
      <xdr:row>47</xdr:row>
      <xdr:rowOff>42334</xdr:rowOff>
    </xdr:from>
    <xdr:to>
      <xdr:col>34</xdr:col>
      <xdr:colOff>700682</xdr:colOff>
      <xdr:row>55</xdr:row>
      <xdr:rowOff>170089</xdr:rowOff>
    </xdr:to>
    <xdr:sp macro="" textlink="">
      <xdr:nvSpPr>
        <xdr:cNvPr id="3" name="Rectángulo 2">
          <a:extLst>
            <a:ext uri="{FF2B5EF4-FFF2-40B4-BE49-F238E27FC236}">
              <a16:creationId xmlns:a16="http://schemas.microsoft.com/office/drawing/2014/main" id="{F161A9D0-68A8-41BD-B6D8-F22BB6007F5F}"/>
            </a:ext>
          </a:extLst>
        </xdr:cNvPr>
        <xdr:cNvSpPr/>
      </xdr:nvSpPr>
      <xdr:spPr>
        <a:xfrm>
          <a:off x="36753800" y="5791200"/>
          <a:ext cx="233957" cy="2408464"/>
        </a:xfrm>
        <a:prstGeom prst="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L" sz="1100"/>
        </a:p>
      </xdr:txBody>
    </xdr:sp>
    <xdr:clientData/>
  </xdr:twoCellAnchor>
  <xdr:twoCellAnchor>
    <xdr:from>
      <xdr:col>32</xdr:col>
      <xdr:colOff>602116</xdr:colOff>
      <xdr:row>55</xdr:row>
      <xdr:rowOff>74839</xdr:rowOff>
    </xdr:from>
    <xdr:to>
      <xdr:col>34</xdr:col>
      <xdr:colOff>139473</xdr:colOff>
      <xdr:row>55</xdr:row>
      <xdr:rowOff>173490</xdr:rowOff>
    </xdr:to>
    <xdr:sp macro="" textlink="">
      <xdr:nvSpPr>
        <xdr:cNvPr id="4" name="Rectángulo 3">
          <a:extLst>
            <a:ext uri="{FF2B5EF4-FFF2-40B4-BE49-F238E27FC236}">
              <a16:creationId xmlns:a16="http://schemas.microsoft.com/office/drawing/2014/main" id="{A78FF55E-6771-45ED-9CE5-0C982FC27CC7}"/>
            </a:ext>
          </a:extLst>
        </xdr:cNvPr>
        <xdr:cNvSpPr/>
      </xdr:nvSpPr>
      <xdr:spPr>
        <a:xfrm>
          <a:off x="35269941" y="8104414"/>
          <a:ext cx="1162957" cy="98651"/>
        </a:xfrm>
        <a:prstGeom prst="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L"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60324</xdr:colOff>
      <xdr:row>40</xdr:row>
      <xdr:rowOff>69849</xdr:rowOff>
    </xdr:from>
    <xdr:to>
      <xdr:col>14</xdr:col>
      <xdr:colOff>154410</xdr:colOff>
      <xdr:row>48</xdr:row>
      <xdr:rowOff>93133</xdr:rowOff>
    </xdr:to>
    <xdr:pic>
      <xdr:nvPicPr>
        <xdr:cNvPr id="2" name="Imagen 1">
          <a:extLst>
            <a:ext uri="{FF2B5EF4-FFF2-40B4-BE49-F238E27FC236}">
              <a16:creationId xmlns:a16="http://schemas.microsoft.com/office/drawing/2014/main" id="{12A23187-220B-5663-9843-7AF485AD4CB5}"/>
            </a:ext>
          </a:extLst>
        </xdr:cNvPr>
        <xdr:cNvPicPr>
          <a:picLocks noChangeAspect="1"/>
        </xdr:cNvPicPr>
      </xdr:nvPicPr>
      <xdr:blipFill rotWithShape="1">
        <a:blip xmlns:r="http://schemas.openxmlformats.org/officeDocument/2006/relationships" r:embed="rId1">
          <a:duotone>
            <a:schemeClr val="bg2">
              <a:shade val="45000"/>
              <a:satMod val="135000"/>
            </a:schemeClr>
            <a:prstClr val="white"/>
          </a:duotone>
          <a:extLst>
            <a:ext uri="{BEBA8EAE-BF5A-486C-A8C5-ECC9F3942E4B}">
              <a14:imgProps xmlns:a14="http://schemas.microsoft.com/office/drawing/2010/main">
                <a14:imgLayer r:embed="rId2">
                  <a14:imgEffect>
                    <a14:sharpenSoften amount="50000"/>
                  </a14:imgEffect>
                </a14:imgLayer>
              </a14:imgProps>
            </a:ext>
          </a:extLst>
        </a:blip>
        <a:srcRect b="5405"/>
        <a:stretch/>
      </xdr:blipFill>
      <xdr:spPr>
        <a:xfrm>
          <a:off x="8861424" y="8328024"/>
          <a:ext cx="4161261" cy="1318684"/>
        </a:xfrm>
        <a:prstGeom prst="rect">
          <a:avLst/>
        </a:prstGeom>
      </xdr:spPr>
    </xdr:pic>
    <xdr:clientData/>
  </xdr:twoCellAnchor>
  <xdr:twoCellAnchor>
    <xdr:from>
      <xdr:col>14</xdr:col>
      <xdr:colOff>222249</xdr:colOff>
      <xdr:row>39</xdr:row>
      <xdr:rowOff>200025</xdr:rowOff>
    </xdr:from>
    <xdr:to>
      <xdr:col>21</xdr:col>
      <xdr:colOff>31789</xdr:colOff>
      <xdr:row>49</xdr:row>
      <xdr:rowOff>60928</xdr:rowOff>
    </xdr:to>
    <xdr:grpSp>
      <xdr:nvGrpSpPr>
        <xdr:cNvPr id="3" name="Grupo 2">
          <a:extLst>
            <a:ext uri="{FF2B5EF4-FFF2-40B4-BE49-F238E27FC236}">
              <a16:creationId xmlns:a16="http://schemas.microsoft.com/office/drawing/2014/main" id="{4CB6315B-D8EF-9AA0-3CAB-9F6216C4E297}"/>
            </a:ext>
          </a:extLst>
        </xdr:cNvPr>
        <xdr:cNvGrpSpPr/>
      </xdr:nvGrpSpPr>
      <xdr:grpSpPr>
        <a:xfrm>
          <a:off x="13090524" y="8248650"/>
          <a:ext cx="3876715" cy="1527778"/>
          <a:chOff x="5225548" y="2398211"/>
          <a:chExt cx="3877773" cy="1712986"/>
        </a:xfrm>
      </xdr:grpSpPr>
      <xdr:pic>
        <xdr:nvPicPr>
          <xdr:cNvPr id="4" name="Imagen 3" descr="Imagen que contiene Pizarra&#10;&#10;Descripción generada automáticamente">
            <a:extLst>
              <a:ext uri="{FF2B5EF4-FFF2-40B4-BE49-F238E27FC236}">
                <a16:creationId xmlns:a16="http://schemas.microsoft.com/office/drawing/2014/main" id="{40AAFDFE-4D6F-4780-BDFE-B6CC7931F2BA}"/>
              </a:ext>
            </a:extLst>
          </xdr:cNvPr>
          <xdr:cNvPicPr/>
        </xdr:nvPicPr>
        <xdr:blipFill rotWithShape="1">
          <a:blip xmlns:r="http://schemas.openxmlformats.org/officeDocument/2006/relationships" r:embed="rId3"/>
          <a:srcRect t="9888"/>
          <a:stretch/>
        </xdr:blipFill>
        <xdr:spPr>
          <a:xfrm>
            <a:off x="5225548" y="2398211"/>
            <a:ext cx="3877773" cy="1712986"/>
          </a:xfrm>
          <a:prstGeom prst="rect">
            <a:avLst/>
          </a:prstGeom>
        </xdr:spPr>
      </xdr:pic>
      <xdr:cxnSp macro="">
        <xdr:nvCxnSpPr>
          <xdr:cNvPr id="5" name="Conector recto 4">
            <a:extLst>
              <a:ext uri="{FF2B5EF4-FFF2-40B4-BE49-F238E27FC236}">
                <a16:creationId xmlns:a16="http://schemas.microsoft.com/office/drawing/2014/main" id="{DA20A36D-B205-4A19-CB4E-DD7F5D658526}"/>
              </a:ext>
            </a:extLst>
          </xdr:cNvPr>
          <xdr:cNvCxnSpPr/>
        </xdr:nvCxnSpPr>
        <xdr:spPr>
          <a:xfrm>
            <a:off x="5497689" y="2810933"/>
            <a:ext cx="2325511"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 name="Conector recto 5">
            <a:extLst>
              <a:ext uri="{FF2B5EF4-FFF2-40B4-BE49-F238E27FC236}">
                <a16:creationId xmlns:a16="http://schemas.microsoft.com/office/drawing/2014/main" id="{7A68AED7-CD2B-A45E-1E13-D3896F117216}"/>
              </a:ext>
            </a:extLst>
          </xdr:cNvPr>
          <xdr:cNvCxnSpPr/>
        </xdr:nvCxnSpPr>
        <xdr:spPr>
          <a:xfrm>
            <a:off x="5497689" y="2757387"/>
            <a:ext cx="0" cy="10709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Conector recto 6">
            <a:extLst>
              <a:ext uri="{FF2B5EF4-FFF2-40B4-BE49-F238E27FC236}">
                <a16:creationId xmlns:a16="http://schemas.microsoft.com/office/drawing/2014/main" id="{F97EC441-AE11-5867-7AEB-6A1A80B33C00}"/>
              </a:ext>
            </a:extLst>
          </xdr:cNvPr>
          <xdr:cNvCxnSpPr/>
        </xdr:nvCxnSpPr>
        <xdr:spPr>
          <a:xfrm>
            <a:off x="7823200" y="2757387"/>
            <a:ext cx="0" cy="107092"/>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 name="CuadroTexto 14">
            <a:extLst>
              <a:ext uri="{FF2B5EF4-FFF2-40B4-BE49-F238E27FC236}">
                <a16:creationId xmlns:a16="http://schemas.microsoft.com/office/drawing/2014/main" id="{BCBCE785-28F1-0597-8910-DBA784E0709E}"/>
              </a:ext>
            </a:extLst>
          </xdr:cNvPr>
          <xdr:cNvSpPr txBox="1"/>
        </xdr:nvSpPr>
        <xdr:spPr>
          <a:xfrm>
            <a:off x="6543080" y="2602869"/>
            <a:ext cx="289112" cy="261610"/>
          </a:xfrm>
          <a:prstGeom prst="rect">
            <a:avLst/>
          </a:prstGeom>
          <a:noFill/>
        </xdr:spPr>
        <xdr:txBody>
          <a:bodyPr wrap="square">
            <a:spAutoFit/>
          </a:bodyPr>
          <a:lstStyle>
            <a:defPPr>
              <a:defRPr lang="de-DE"/>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r>
              <a:rPr lang="es-CL" sz="1050">
                <a:latin typeface="Arial Nova Light" panose="020B0304020202020204" pitchFamily="34" charset="0"/>
              </a:rPr>
              <a:t>d</a:t>
            </a:r>
            <a:endParaRPr lang="es-CL" sz="1050"/>
          </a:p>
        </xdr:txBody>
      </xdr:sp>
      <xdr:cxnSp macro="">
        <xdr:nvCxnSpPr>
          <xdr:cNvPr id="9" name="Conector recto 8">
            <a:extLst>
              <a:ext uri="{FF2B5EF4-FFF2-40B4-BE49-F238E27FC236}">
                <a16:creationId xmlns:a16="http://schemas.microsoft.com/office/drawing/2014/main" id="{0432D788-B05C-2F3F-28AD-B84B905F5F43}"/>
              </a:ext>
            </a:extLst>
          </xdr:cNvPr>
          <xdr:cNvCxnSpPr>
            <a:cxnSpLocks/>
          </xdr:cNvCxnSpPr>
        </xdr:nvCxnSpPr>
        <xdr:spPr>
          <a:xfrm flipV="1">
            <a:off x="7983391" y="2804099"/>
            <a:ext cx="0" cy="68637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Conector recto 9">
            <a:extLst>
              <a:ext uri="{FF2B5EF4-FFF2-40B4-BE49-F238E27FC236}">
                <a16:creationId xmlns:a16="http://schemas.microsoft.com/office/drawing/2014/main" id="{868296E0-B076-E6D1-7FA7-DE73CBE21449}"/>
              </a:ext>
            </a:extLst>
          </xdr:cNvPr>
          <xdr:cNvCxnSpPr>
            <a:cxnSpLocks/>
          </xdr:cNvCxnSpPr>
        </xdr:nvCxnSpPr>
        <xdr:spPr>
          <a:xfrm>
            <a:off x="7942812" y="2804099"/>
            <a:ext cx="81159"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Conector recto 10">
            <a:extLst>
              <a:ext uri="{FF2B5EF4-FFF2-40B4-BE49-F238E27FC236}">
                <a16:creationId xmlns:a16="http://schemas.microsoft.com/office/drawing/2014/main" id="{DB613A7D-2CED-0E59-F57E-F801A1E359A4}"/>
              </a:ext>
            </a:extLst>
          </xdr:cNvPr>
          <xdr:cNvCxnSpPr>
            <a:cxnSpLocks/>
          </xdr:cNvCxnSpPr>
        </xdr:nvCxnSpPr>
        <xdr:spPr>
          <a:xfrm>
            <a:off x="7942812" y="3490473"/>
            <a:ext cx="81159"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2" name="CuadroTexto 21">
            <a:extLst>
              <a:ext uri="{FF2B5EF4-FFF2-40B4-BE49-F238E27FC236}">
                <a16:creationId xmlns:a16="http://schemas.microsoft.com/office/drawing/2014/main" id="{4AAF67DA-FD0F-9FD1-B8A7-077E5F285A6F}"/>
              </a:ext>
            </a:extLst>
          </xdr:cNvPr>
          <xdr:cNvSpPr txBox="1"/>
        </xdr:nvSpPr>
        <xdr:spPr>
          <a:xfrm>
            <a:off x="7942812" y="2993094"/>
            <a:ext cx="289112" cy="261610"/>
          </a:xfrm>
          <a:prstGeom prst="rect">
            <a:avLst/>
          </a:prstGeom>
          <a:noFill/>
        </xdr:spPr>
        <xdr:txBody>
          <a:bodyPr wrap="square">
            <a:spAutoFit/>
          </a:bodyPr>
          <a:lstStyle>
            <a:defPPr>
              <a:defRPr lang="de-DE"/>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r>
              <a:rPr lang="es-CL" sz="1050">
                <a:latin typeface="Arial Nova Light" panose="020B0304020202020204" pitchFamily="34" charset="0"/>
              </a:rPr>
              <a:t>a</a:t>
            </a:r>
            <a:endParaRPr lang="es-CL" sz="1050"/>
          </a:p>
        </xdr:txBody>
      </xdr:sp>
    </xdr:grpSp>
    <xdr:clientData/>
  </xdr:twoCellAnchor>
  <xdr:twoCellAnchor editAs="oneCell">
    <xdr:from>
      <xdr:col>4</xdr:col>
      <xdr:colOff>1365249</xdr:colOff>
      <xdr:row>61</xdr:row>
      <xdr:rowOff>158750</xdr:rowOff>
    </xdr:from>
    <xdr:to>
      <xdr:col>11</xdr:col>
      <xdr:colOff>359549</xdr:colOff>
      <xdr:row>75</xdr:row>
      <xdr:rowOff>73358</xdr:rowOff>
    </xdr:to>
    <xdr:pic>
      <xdr:nvPicPr>
        <xdr:cNvPr id="14" name="Imagen 13">
          <a:extLst>
            <a:ext uri="{FF2B5EF4-FFF2-40B4-BE49-F238E27FC236}">
              <a16:creationId xmlns:a16="http://schemas.microsoft.com/office/drawing/2014/main" id="{026567EA-4D4A-C7EA-2767-878856947BE2}"/>
            </a:ext>
          </a:extLst>
        </xdr:cNvPr>
        <xdr:cNvPicPr>
          <a:picLocks noChangeAspect="1"/>
        </xdr:cNvPicPr>
      </xdr:nvPicPr>
      <xdr:blipFill>
        <a:blip xmlns:r="http://schemas.openxmlformats.org/officeDocument/2006/relationships" r:embed="rId4"/>
        <a:stretch>
          <a:fillRect/>
        </a:stretch>
      </xdr:blipFill>
      <xdr:spPr>
        <a:xfrm>
          <a:off x="5926666" y="7471833"/>
          <a:ext cx="5553850" cy="2391109"/>
        </a:xfrm>
        <a:prstGeom prst="rect">
          <a:avLst/>
        </a:prstGeom>
      </xdr:spPr>
    </xdr:pic>
    <xdr:clientData/>
  </xdr:twoCellAnchor>
  <xdr:twoCellAnchor editAs="oneCell">
    <xdr:from>
      <xdr:col>0</xdr:col>
      <xdr:colOff>264584</xdr:colOff>
      <xdr:row>61</xdr:row>
      <xdr:rowOff>116417</xdr:rowOff>
    </xdr:from>
    <xdr:to>
      <xdr:col>4</xdr:col>
      <xdr:colOff>1269718</xdr:colOff>
      <xdr:row>75</xdr:row>
      <xdr:rowOff>116762</xdr:rowOff>
    </xdr:to>
    <xdr:pic>
      <xdr:nvPicPr>
        <xdr:cNvPr id="15" name="Imagen 14">
          <a:extLst>
            <a:ext uri="{FF2B5EF4-FFF2-40B4-BE49-F238E27FC236}">
              <a16:creationId xmlns:a16="http://schemas.microsoft.com/office/drawing/2014/main" id="{2960BD0D-6518-D706-ED3E-6EFAF34E8717}"/>
            </a:ext>
          </a:extLst>
        </xdr:cNvPr>
        <xdr:cNvPicPr>
          <a:picLocks noChangeAspect="1"/>
        </xdr:cNvPicPr>
      </xdr:nvPicPr>
      <xdr:blipFill>
        <a:blip xmlns:r="http://schemas.openxmlformats.org/officeDocument/2006/relationships" r:embed="rId5"/>
        <a:stretch>
          <a:fillRect/>
        </a:stretch>
      </xdr:blipFill>
      <xdr:spPr>
        <a:xfrm>
          <a:off x="264584" y="7429500"/>
          <a:ext cx="5563376" cy="2476846"/>
        </a:xfrm>
        <a:prstGeom prst="rect">
          <a:avLst/>
        </a:prstGeom>
      </xdr:spPr>
    </xdr:pic>
    <xdr:clientData/>
  </xdr:twoCellAnchor>
  <xdr:twoCellAnchor editAs="oneCell">
    <xdr:from>
      <xdr:col>8</xdr:col>
      <xdr:colOff>152658</xdr:colOff>
      <xdr:row>9</xdr:row>
      <xdr:rowOff>80579</xdr:rowOff>
    </xdr:from>
    <xdr:to>
      <xdr:col>16</xdr:col>
      <xdr:colOff>96968</xdr:colOff>
      <xdr:row>15</xdr:row>
      <xdr:rowOff>19949</xdr:rowOff>
    </xdr:to>
    <xdr:pic>
      <xdr:nvPicPr>
        <xdr:cNvPr id="19" name="Imagen 12">
          <a:extLst>
            <a:ext uri="{FF2B5EF4-FFF2-40B4-BE49-F238E27FC236}">
              <a16:creationId xmlns:a16="http://schemas.microsoft.com/office/drawing/2014/main" id="{3FAAE731-F3F9-4AE6-BDF9-248C059320DB}"/>
            </a:ext>
            <a:ext uri="{147F2762-F138-4A5C-976F-8EAC2B608ADB}">
              <a16:predDERef xmlns:a16="http://schemas.microsoft.com/office/drawing/2014/main" pred="{2960BD0D-6518-D706-ED3E-6EFAF34E8717}"/>
            </a:ext>
          </a:extLst>
        </xdr:cNvPr>
        <xdr:cNvPicPr>
          <a:picLocks noChangeAspect="1"/>
        </xdr:cNvPicPr>
      </xdr:nvPicPr>
      <xdr:blipFill>
        <a:blip xmlns:r="http://schemas.openxmlformats.org/officeDocument/2006/relationships" r:embed="rId6"/>
        <a:stretch>
          <a:fillRect/>
        </a:stretch>
      </xdr:blipFill>
      <xdr:spPr>
        <a:xfrm>
          <a:off x="9563358" y="2395154"/>
          <a:ext cx="4592510" cy="1082370"/>
        </a:xfrm>
        <a:prstGeom prst="rect">
          <a:avLst/>
        </a:prstGeom>
      </xdr:spPr>
    </xdr:pic>
    <xdr:clientData/>
  </xdr:twoCellAnchor>
  <xdr:twoCellAnchor editAs="oneCell">
    <xdr:from>
      <xdr:col>8</xdr:col>
      <xdr:colOff>149654</xdr:colOff>
      <xdr:row>16</xdr:row>
      <xdr:rowOff>30463</xdr:rowOff>
    </xdr:from>
    <xdr:to>
      <xdr:col>16</xdr:col>
      <xdr:colOff>113357</xdr:colOff>
      <xdr:row>19</xdr:row>
      <xdr:rowOff>124952</xdr:rowOff>
    </xdr:to>
    <xdr:pic>
      <xdr:nvPicPr>
        <xdr:cNvPr id="20" name="Imagen 15">
          <a:extLst>
            <a:ext uri="{FF2B5EF4-FFF2-40B4-BE49-F238E27FC236}">
              <a16:creationId xmlns:a16="http://schemas.microsoft.com/office/drawing/2014/main" id="{C003E15E-84BA-4F6C-AA03-1C34B0A7510A}"/>
            </a:ext>
            <a:ext uri="{147F2762-F138-4A5C-976F-8EAC2B608ADB}">
              <a16:predDERef xmlns:a16="http://schemas.microsoft.com/office/drawing/2014/main" pred="{640C2141-1C6B-8529-42E7-04065A4DE30B}"/>
            </a:ext>
          </a:extLst>
        </xdr:cNvPr>
        <xdr:cNvPicPr>
          <a:picLocks noChangeAspect="1"/>
        </xdr:cNvPicPr>
      </xdr:nvPicPr>
      <xdr:blipFill>
        <a:blip xmlns:r="http://schemas.openxmlformats.org/officeDocument/2006/relationships" r:embed="rId7"/>
        <a:stretch>
          <a:fillRect/>
        </a:stretch>
      </xdr:blipFill>
      <xdr:spPr>
        <a:xfrm>
          <a:off x="9560354" y="3678538"/>
          <a:ext cx="4611903" cy="6659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35489</xdr:colOff>
          <xdr:row>108</xdr:row>
          <xdr:rowOff>102480</xdr:rowOff>
        </xdr:from>
        <xdr:to>
          <xdr:col>1</xdr:col>
          <xdr:colOff>802251</xdr:colOff>
          <xdr:row>109</xdr:row>
          <xdr:rowOff>93771</xdr:rowOff>
        </xdr:to>
        <xdr:pic>
          <xdr:nvPicPr>
            <xdr:cNvPr id="2" name="Imagen 1">
              <a:extLst>
                <a:ext uri="{FF2B5EF4-FFF2-40B4-BE49-F238E27FC236}">
                  <a16:creationId xmlns:a16="http://schemas.microsoft.com/office/drawing/2014/main" id="{549725FD-9A31-4D35-840F-19382D34D15B}"/>
                </a:ext>
              </a:extLst>
            </xdr:cNvPr>
            <xdr:cNvPicPr>
              <a:picLocks noChangeAspect="1"/>
              <a:extLst>
                <a:ext uri="{84589F7E-364E-4C9E-8A38-B11213B215E9}">
                  <a14:cameraTool cellRange="'[1]Anexo 1'!$G$46" spid="_x0000_s83562"/>
                </a:ext>
              </a:extLst>
            </xdr:cNvPicPr>
          </xdr:nvPicPr>
          <xdr:blipFill rotWithShape="1">
            <a:blip xmlns:r="http://schemas.openxmlformats.org/officeDocument/2006/relationships" r:embed="rId1"/>
            <a:srcRect b="50807"/>
            <a:stretch>
              <a:fillRect/>
            </a:stretch>
          </xdr:blipFill>
          <xdr:spPr>
            <a:xfrm>
              <a:off x="349814" y="13088230"/>
              <a:ext cx="766762" cy="162779"/>
            </a:xfrm>
            <a:prstGeom prst="rect">
              <a:avLst/>
            </a:prstGeom>
          </xdr:spPr>
        </xdr:pic>
        <xdr:clientData/>
      </xdr:twoCellAnchor>
    </mc:Choice>
    <mc:Fallback/>
  </mc:AlternateContent>
  <xdr:twoCellAnchor>
    <xdr:from>
      <xdr:col>1</xdr:col>
      <xdr:colOff>344715</xdr:colOff>
      <xdr:row>95</xdr:row>
      <xdr:rowOff>93142</xdr:rowOff>
    </xdr:from>
    <xdr:to>
      <xdr:col>9</xdr:col>
      <xdr:colOff>312737</xdr:colOff>
      <xdr:row>95</xdr:row>
      <xdr:rowOff>3255519</xdr:rowOff>
    </xdr:to>
    <xdr:grpSp>
      <xdr:nvGrpSpPr>
        <xdr:cNvPr id="15" name="Grupo 14">
          <a:extLst>
            <a:ext uri="{FF2B5EF4-FFF2-40B4-BE49-F238E27FC236}">
              <a16:creationId xmlns:a16="http://schemas.microsoft.com/office/drawing/2014/main" id="{E4EFF2D3-1B46-B433-580E-EB3F22AE7CDB}"/>
            </a:ext>
          </a:extLst>
        </xdr:cNvPr>
        <xdr:cNvGrpSpPr>
          <a:grpSpLocks noChangeAspect="1"/>
        </xdr:cNvGrpSpPr>
      </xdr:nvGrpSpPr>
      <xdr:grpSpPr>
        <a:xfrm>
          <a:off x="649515" y="18685942"/>
          <a:ext cx="6187847" cy="3162377"/>
          <a:chOff x="662215" y="2469856"/>
          <a:chExt cx="6883626" cy="3162377"/>
        </a:xfrm>
      </xdr:grpSpPr>
      <xdr:pic>
        <xdr:nvPicPr>
          <xdr:cNvPr id="3" name="Imagen 2">
            <a:extLst>
              <a:ext uri="{FF2B5EF4-FFF2-40B4-BE49-F238E27FC236}">
                <a16:creationId xmlns:a16="http://schemas.microsoft.com/office/drawing/2014/main" id="{E33056B1-BE30-4627-83E7-AD18AEE9039B}"/>
              </a:ext>
            </a:extLst>
          </xdr:cNvPr>
          <xdr:cNvPicPr>
            <a:picLocks noChangeAspect="1"/>
          </xdr:cNvPicPr>
        </xdr:nvPicPr>
        <xdr:blipFill>
          <a:blip xmlns:r="http://schemas.openxmlformats.org/officeDocument/2006/relationships" r:embed="rId2"/>
          <a:stretch>
            <a:fillRect/>
          </a:stretch>
        </xdr:blipFill>
        <xdr:spPr>
          <a:xfrm>
            <a:off x="662215" y="2469856"/>
            <a:ext cx="6883626" cy="3162377"/>
          </a:xfrm>
          <a:prstGeom prst="rect">
            <a:avLst/>
          </a:prstGeom>
        </xdr:spPr>
      </xdr:pic>
      <xdr:cxnSp macro="">
        <xdr:nvCxnSpPr>
          <xdr:cNvPr id="5" name="Conector recto 4">
            <a:extLst>
              <a:ext uri="{FF2B5EF4-FFF2-40B4-BE49-F238E27FC236}">
                <a16:creationId xmlns:a16="http://schemas.microsoft.com/office/drawing/2014/main" id="{8F574584-5EF3-4C77-AF74-14ED6DADC107}"/>
              </a:ext>
            </a:extLst>
          </xdr:cNvPr>
          <xdr:cNvCxnSpPr/>
        </xdr:nvCxnSpPr>
        <xdr:spPr>
          <a:xfrm>
            <a:off x="5869214" y="2685142"/>
            <a:ext cx="1451430" cy="0"/>
          </a:xfrm>
          <a:prstGeom prst="line">
            <a:avLst/>
          </a:prstGeom>
          <a:ln w="28575"/>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1</xdr:col>
      <xdr:colOff>102454</xdr:colOff>
      <xdr:row>97</xdr:row>
      <xdr:rowOff>107186</xdr:rowOff>
    </xdr:from>
    <xdr:to>
      <xdr:col>9</xdr:col>
      <xdr:colOff>374369</xdr:colOff>
      <xdr:row>97</xdr:row>
      <xdr:rowOff>3154739</xdr:rowOff>
    </xdr:to>
    <xdr:grpSp>
      <xdr:nvGrpSpPr>
        <xdr:cNvPr id="16" name="Grupo 15">
          <a:extLst>
            <a:ext uri="{FF2B5EF4-FFF2-40B4-BE49-F238E27FC236}">
              <a16:creationId xmlns:a16="http://schemas.microsoft.com/office/drawing/2014/main" id="{1C8E5DDC-2154-2D05-E8D3-79F1405B5E50}"/>
            </a:ext>
          </a:extLst>
        </xdr:cNvPr>
        <xdr:cNvGrpSpPr>
          <a:grpSpLocks noChangeAspect="1"/>
        </xdr:cNvGrpSpPr>
      </xdr:nvGrpSpPr>
      <xdr:grpSpPr>
        <a:xfrm>
          <a:off x="407254" y="22271861"/>
          <a:ext cx="6491740" cy="3047553"/>
          <a:chOff x="453572" y="6061218"/>
          <a:chExt cx="7187519" cy="3047553"/>
        </a:xfrm>
      </xdr:grpSpPr>
      <xdr:pic>
        <xdr:nvPicPr>
          <xdr:cNvPr id="4" name="Imagen 3">
            <a:extLst>
              <a:ext uri="{FF2B5EF4-FFF2-40B4-BE49-F238E27FC236}">
                <a16:creationId xmlns:a16="http://schemas.microsoft.com/office/drawing/2014/main" id="{9E537512-2436-4B92-8C29-A93D84E3E367}"/>
              </a:ext>
            </a:extLst>
          </xdr:cNvPr>
          <xdr:cNvPicPr>
            <a:picLocks noChangeAspect="1"/>
          </xdr:cNvPicPr>
        </xdr:nvPicPr>
        <xdr:blipFill>
          <a:blip xmlns:r="http://schemas.openxmlformats.org/officeDocument/2006/relationships" r:embed="rId3"/>
          <a:stretch>
            <a:fillRect/>
          </a:stretch>
        </xdr:blipFill>
        <xdr:spPr>
          <a:xfrm>
            <a:off x="453572" y="6061218"/>
            <a:ext cx="7187519" cy="3047553"/>
          </a:xfrm>
          <a:prstGeom prst="rect">
            <a:avLst/>
          </a:prstGeom>
        </xdr:spPr>
      </xdr:pic>
      <xdr:cxnSp macro="">
        <xdr:nvCxnSpPr>
          <xdr:cNvPr id="6" name="Conector recto 5">
            <a:extLst>
              <a:ext uri="{FF2B5EF4-FFF2-40B4-BE49-F238E27FC236}">
                <a16:creationId xmlns:a16="http://schemas.microsoft.com/office/drawing/2014/main" id="{FC8FBF0F-BDD7-4A92-A9BF-3CAB2FF1954B}"/>
              </a:ext>
            </a:extLst>
          </xdr:cNvPr>
          <xdr:cNvCxnSpPr/>
        </xdr:nvCxnSpPr>
        <xdr:spPr>
          <a:xfrm>
            <a:off x="6141357" y="6295571"/>
            <a:ext cx="1451429" cy="0"/>
          </a:xfrm>
          <a:prstGeom prst="line">
            <a:avLst/>
          </a:prstGeom>
          <a:ln w="28575"/>
        </xdr:spPr>
        <xdr:style>
          <a:lnRef idx="1">
            <a:schemeClr val="accent2"/>
          </a:lnRef>
          <a:fillRef idx="0">
            <a:schemeClr val="accent2"/>
          </a:fillRef>
          <a:effectRef idx="0">
            <a:schemeClr val="accent2"/>
          </a:effectRef>
          <a:fontRef idx="minor">
            <a:schemeClr val="tx1"/>
          </a:fontRef>
        </xdr:style>
      </xdr:cxnSp>
    </xdr:grpSp>
    <xdr:clientData/>
  </xdr:twoCellAnchor>
  <xdr:twoCellAnchor editAs="absolute">
    <xdr:from>
      <xdr:col>0</xdr:col>
      <xdr:colOff>211836</xdr:colOff>
      <xdr:row>111</xdr:row>
      <xdr:rowOff>54829</xdr:rowOff>
    </xdr:from>
    <xdr:to>
      <xdr:col>8</xdr:col>
      <xdr:colOff>371800</xdr:colOff>
      <xdr:row>122</xdr:row>
      <xdr:rowOff>46357</xdr:rowOff>
    </xdr:to>
    <xdr:pic>
      <xdr:nvPicPr>
        <xdr:cNvPr id="9" name="Imagen 6">
          <a:extLst>
            <a:ext uri="{FF2B5EF4-FFF2-40B4-BE49-F238E27FC236}">
              <a16:creationId xmlns:a16="http://schemas.microsoft.com/office/drawing/2014/main" id="{D1670B2B-A4D0-4007-999C-C47480A5ABB8}"/>
            </a:ext>
          </a:extLst>
        </xdr:cNvPr>
        <xdr:cNvPicPr>
          <a:picLocks noChangeAspect="1"/>
        </xdr:cNvPicPr>
      </xdr:nvPicPr>
      <xdr:blipFill rotWithShape="1">
        <a:blip xmlns:r="http://schemas.openxmlformats.org/officeDocument/2006/relationships" r:embed="rId4"/>
        <a:srcRect b="50807"/>
        <a:stretch/>
      </xdr:blipFill>
      <xdr:spPr>
        <a:xfrm>
          <a:off x="220726" y="27045671"/>
          <a:ext cx="6288958" cy="1620238"/>
        </a:xfrm>
        <a:prstGeom prst="rect">
          <a:avLst/>
        </a:prstGeom>
      </xdr:spPr>
    </xdr:pic>
    <xdr:clientData/>
  </xdr:twoCellAnchor>
  <xdr:twoCellAnchor editAs="oneCell">
    <xdr:from>
      <xdr:col>6</xdr:col>
      <xdr:colOff>217718</xdr:colOff>
      <xdr:row>22</xdr:row>
      <xdr:rowOff>33244</xdr:rowOff>
    </xdr:from>
    <xdr:to>
      <xdr:col>9</xdr:col>
      <xdr:colOff>428074</xdr:colOff>
      <xdr:row>29</xdr:row>
      <xdr:rowOff>1121919</xdr:rowOff>
    </xdr:to>
    <xdr:pic>
      <xdr:nvPicPr>
        <xdr:cNvPr id="10" name="Imagen 9">
          <a:extLst>
            <a:ext uri="{FF2B5EF4-FFF2-40B4-BE49-F238E27FC236}">
              <a16:creationId xmlns:a16="http://schemas.microsoft.com/office/drawing/2014/main" id="{4F2C6E7D-FA22-41D0-B9D7-6721F1D13774}"/>
            </a:ext>
          </a:extLst>
        </xdr:cNvPr>
        <xdr:cNvPicPr>
          <a:picLocks noChangeAspect="1"/>
        </xdr:cNvPicPr>
      </xdr:nvPicPr>
      <xdr:blipFill>
        <a:blip xmlns:r="http://schemas.openxmlformats.org/officeDocument/2006/relationships" r:embed="rId5"/>
        <a:stretch>
          <a:fillRect/>
        </a:stretch>
      </xdr:blipFill>
      <xdr:spPr>
        <a:xfrm>
          <a:off x="5216075" y="4432887"/>
          <a:ext cx="2034348" cy="2229134"/>
        </a:xfrm>
        <a:prstGeom prst="rect">
          <a:avLst/>
        </a:prstGeom>
      </xdr:spPr>
    </xdr:pic>
    <xdr:clientData/>
  </xdr:twoCellAnchor>
  <xdr:twoCellAnchor editAs="oneCell">
    <xdr:from>
      <xdr:col>27</xdr:col>
      <xdr:colOff>272142</xdr:colOff>
      <xdr:row>22</xdr:row>
      <xdr:rowOff>99791</xdr:rowOff>
    </xdr:from>
    <xdr:to>
      <xdr:col>30</xdr:col>
      <xdr:colOff>476995</xdr:colOff>
      <xdr:row>29</xdr:row>
      <xdr:rowOff>854989</xdr:rowOff>
    </xdr:to>
    <xdr:pic>
      <xdr:nvPicPr>
        <xdr:cNvPr id="12" name="Imagen 11">
          <a:extLst>
            <a:ext uri="{FF2B5EF4-FFF2-40B4-BE49-F238E27FC236}">
              <a16:creationId xmlns:a16="http://schemas.microsoft.com/office/drawing/2014/main" id="{5E436394-29DD-47E2-A795-2B99E3C16014}"/>
            </a:ext>
          </a:extLst>
        </xdr:cNvPr>
        <xdr:cNvPicPr>
          <a:picLocks noChangeAspect="1"/>
        </xdr:cNvPicPr>
      </xdr:nvPicPr>
      <xdr:blipFill>
        <a:blip xmlns:r="http://schemas.openxmlformats.org/officeDocument/2006/relationships" r:embed="rId6"/>
        <a:stretch>
          <a:fillRect/>
        </a:stretch>
      </xdr:blipFill>
      <xdr:spPr>
        <a:xfrm>
          <a:off x="21125542" y="24639366"/>
          <a:ext cx="2028572" cy="1900011"/>
        </a:xfrm>
        <a:prstGeom prst="rect">
          <a:avLst/>
        </a:prstGeom>
      </xdr:spPr>
    </xdr:pic>
    <xdr:clientData/>
  </xdr:twoCellAnchor>
  <xdr:twoCellAnchor editAs="oneCell">
    <xdr:from>
      <xdr:col>38</xdr:col>
      <xdr:colOff>93939</xdr:colOff>
      <xdr:row>23</xdr:row>
      <xdr:rowOff>81642</xdr:rowOff>
    </xdr:from>
    <xdr:to>
      <xdr:col>41</xdr:col>
      <xdr:colOff>459923</xdr:colOff>
      <xdr:row>29</xdr:row>
      <xdr:rowOff>1006477</xdr:rowOff>
    </xdr:to>
    <xdr:pic>
      <xdr:nvPicPr>
        <xdr:cNvPr id="13" name="Imagen 12">
          <a:extLst>
            <a:ext uri="{FF2B5EF4-FFF2-40B4-BE49-F238E27FC236}">
              <a16:creationId xmlns:a16="http://schemas.microsoft.com/office/drawing/2014/main" id="{7E4446BC-A32D-4E1F-8E5A-281CDAF21BFE}"/>
            </a:ext>
          </a:extLst>
        </xdr:cNvPr>
        <xdr:cNvPicPr>
          <a:picLocks noChangeAspect="1"/>
        </xdr:cNvPicPr>
      </xdr:nvPicPr>
      <xdr:blipFill>
        <a:blip xmlns:r="http://schemas.openxmlformats.org/officeDocument/2006/relationships" r:embed="rId7"/>
        <a:stretch>
          <a:fillRect/>
        </a:stretch>
      </xdr:blipFill>
      <xdr:spPr>
        <a:xfrm>
          <a:off x="28659414" y="24802192"/>
          <a:ext cx="2194783" cy="1906815"/>
        </a:xfrm>
        <a:prstGeom prst="rect">
          <a:avLst/>
        </a:prstGeom>
      </xdr:spPr>
    </xdr:pic>
    <xdr:clientData/>
  </xdr:twoCellAnchor>
  <xdr:twoCellAnchor editAs="oneCell">
    <xdr:from>
      <xdr:col>17</xdr:col>
      <xdr:colOff>4538</xdr:colOff>
      <xdr:row>22</xdr:row>
      <xdr:rowOff>24366</xdr:rowOff>
    </xdr:from>
    <xdr:to>
      <xdr:col>19</xdr:col>
      <xdr:colOff>135828</xdr:colOff>
      <xdr:row>29</xdr:row>
      <xdr:rowOff>1124629</xdr:rowOff>
    </xdr:to>
    <xdr:pic>
      <xdr:nvPicPr>
        <xdr:cNvPr id="14" name="Imagen 13">
          <a:extLst>
            <a:ext uri="{FF2B5EF4-FFF2-40B4-BE49-F238E27FC236}">
              <a16:creationId xmlns:a16="http://schemas.microsoft.com/office/drawing/2014/main" id="{42325B12-7651-4A7C-82BD-2017C684AA7F}"/>
            </a:ext>
          </a:extLst>
        </xdr:cNvPr>
        <xdr:cNvPicPr>
          <a:picLocks noChangeAspect="1"/>
        </xdr:cNvPicPr>
      </xdr:nvPicPr>
      <xdr:blipFill>
        <a:blip xmlns:r="http://schemas.openxmlformats.org/officeDocument/2006/relationships" r:embed="rId8"/>
        <a:stretch>
          <a:fillRect/>
        </a:stretch>
      </xdr:blipFill>
      <xdr:spPr>
        <a:xfrm>
          <a:off x="12795252" y="4505652"/>
          <a:ext cx="1440751" cy="2231832"/>
        </a:xfrm>
        <a:prstGeom prst="rect">
          <a:avLst/>
        </a:prstGeom>
      </xdr:spPr>
    </xdr:pic>
    <xdr:clientData/>
  </xdr:twoCellAnchor>
  <xdr:twoCellAnchor>
    <xdr:from>
      <xdr:col>1</xdr:col>
      <xdr:colOff>9073</xdr:colOff>
      <xdr:row>40</xdr:row>
      <xdr:rowOff>127000</xdr:rowOff>
    </xdr:from>
    <xdr:to>
      <xdr:col>8</xdr:col>
      <xdr:colOff>235857</xdr:colOff>
      <xdr:row>60</xdr:row>
      <xdr:rowOff>117929</xdr:rowOff>
    </xdr:to>
    <xdr:grpSp>
      <xdr:nvGrpSpPr>
        <xdr:cNvPr id="23" name="Grupo 22">
          <a:extLst>
            <a:ext uri="{FF2B5EF4-FFF2-40B4-BE49-F238E27FC236}">
              <a16:creationId xmlns:a16="http://schemas.microsoft.com/office/drawing/2014/main" id="{5655D2C4-49E2-37A8-542C-233C9FFF9263}"/>
            </a:ext>
          </a:extLst>
        </xdr:cNvPr>
        <xdr:cNvGrpSpPr>
          <a:grpSpLocks noChangeAspect="1"/>
        </xdr:cNvGrpSpPr>
      </xdr:nvGrpSpPr>
      <xdr:grpSpPr>
        <a:xfrm>
          <a:off x="313873" y="9442450"/>
          <a:ext cx="5694134" cy="3229429"/>
          <a:chOff x="789216" y="8545285"/>
          <a:chExt cx="6349998" cy="3800929"/>
        </a:xfrm>
      </xdr:grpSpPr>
      <xdr:sp macro="" textlink="">
        <xdr:nvSpPr>
          <xdr:cNvPr id="21" name="Rectángulo 20">
            <a:extLst>
              <a:ext uri="{FF2B5EF4-FFF2-40B4-BE49-F238E27FC236}">
                <a16:creationId xmlns:a16="http://schemas.microsoft.com/office/drawing/2014/main" id="{7E394000-50AD-479E-AF48-FDCB49F023C1}"/>
              </a:ext>
            </a:extLst>
          </xdr:cNvPr>
          <xdr:cNvSpPr/>
        </xdr:nvSpPr>
        <xdr:spPr>
          <a:xfrm>
            <a:off x="789216" y="8545285"/>
            <a:ext cx="6349998" cy="3800929"/>
          </a:xfrm>
          <a:prstGeom prst="rect">
            <a:avLst/>
          </a:prstGeom>
          <a:solidFill>
            <a:sysClr val="window" lastClr="FFFFFF"/>
          </a:solidFill>
          <a:ln w="9525" cap="flat" cmpd="sng" algn="ctr">
            <a:solidFill>
              <a:srgbClr val="FF7C8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s-CL" sz="1100"/>
          </a:p>
        </xdr:txBody>
      </xdr:sp>
      <xdr:grpSp>
        <xdr:nvGrpSpPr>
          <xdr:cNvPr id="19" name="Grupo 18">
            <a:extLst>
              <a:ext uri="{FF2B5EF4-FFF2-40B4-BE49-F238E27FC236}">
                <a16:creationId xmlns:a16="http://schemas.microsoft.com/office/drawing/2014/main" id="{3638706F-99F3-062C-24E2-B903C30E3A99}"/>
              </a:ext>
            </a:extLst>
          </xdr:cNvPr>
          <xdr:cNvGrpSpPr/>
        </xdr:nvGrpSpPr>
        <xdr:grpSpPr>
          <a:xfrm>
            <a:off x="970644" y="8681356"/>
            <a:ext cx="5996215" cy="3424691"/>
            <a:chOff x="970644" y="435429"/>
            <a:chExt cx="5996215" cy="3424691"/>
          </a:xfrm>
        </xdr:grpSpPr>
        <xdr:grpSp>
          <xdr:nvGrpSpPr>
            <xdr:cNvPr id="17" name="Grupo 16">
              <a:extLst>
                <a:ext uri="{FF2B5EF4-FFF2-40B4-BE49-F238E27FC236}">
                  <a16:creationId xmlns:a16="http://schemas.microsoft.com/office/drawing/2014/main" id="{DAA49B9E-56BD-7D86-E19F-4DEA938A51A8}"/>
                </a:ext>
              </a:extLst>
            </xdr:cNvPr>
            <xdr:cNvGrpSpPr/>
          </xdr:nvGrpSpPr>
          <xdr:grpSpPr>
            <a:xfrm>
              <a:off x="970644" y="814155"/>
              <a:ext cx="5996215" cy="3045965"/>
              <a:chOff x="970644" y="1521727"/>
              <a:chExt cx="5996215" cy="3045965"/>
            </a:xfrm>
          </xdr:grpSpPr>
          <xdr:sp macro="" textlink="">
            <xdr:nvSpPr>
              <xdr:cNvPr id="8" name="CuadroTexto 7">
                <a:extLst>
                  <a:ext uri="{FF2B5EF4-FFF2-40B4-BE49-F238E27FC236}">
                    <a16:creationId xmlns:a16="http://schemas.microsoft.com/office/drawing/2014/main" id="{F0FCA765-190E-488C-910C-354AF4D386A4}"/>
                  </a:ext>
                </a:extLst>
              </xdr:cNvPr>
              <xdr:cNvSpPr txBox="1"/>
            </xdr:nvSpPr>
            <xdr:spPr>
              <a:xfrm>
                <a:off x="5193743" y="4132385"/>
                <a:ext cx="1773116" cy="249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 Fachada expuesta al sol</a:t>
                </a:r>
              </a:p>
            </xdr:txBody>
          </xdr:sp>
          <xdr:pic>
            <xdr:nvPicPr>
              <xdr:cNvPr id="11" name="Imagen 10">
                <a:extLst>
                  <a:ext uri="{FF2B5EF4-FFF2-40B4-BE49-F238E27FC236}">
                    <a16:creationId xmlns:a16="http://schemas.microsoft.com/office/drawing/2014/main" id="{55ACCD79-1921-4FD5-88C0-3BEEDBA1D75D}"/>
                  </a:ext>
                </a:extLst>
              </xdr:cNvPr>
              <xdr:cNvPicPr>
                <a:picLocks noChangeAspect="1"/>
              </xdr:cNvPicPr>
            </xdr:nvPicPr>
            <xdr:blipFill>
              <a:blip xmlns:r="http://schemas.openxmlformats.org/officeDocument/2006/relationships" r:embed="rId9"/>
              <a:stretch>
                <a:fillRect/>
              </a:stretch>
            </xdr:blipFill>
            <xdr:spPr>
              <a:xfrm>
                <a:off x="970644" y="1521727"/>
                <a:ext cx="4085760" cy="3045965"/>
              </a:xfrm>
              <a:prstGeom prst="rect">
                <a:avLst/>
              </a:prstGeom>
            </xdr:spPr>
          </xdr:pic>
        </xdr:grpSp>
        <xdr:sp macro="" textlink="">
          <xdr:nvSpPr>
            <xdr:cNvPr id="18" name="CuadroTexto 17">
              <a:extLst>
                <a:ext uri="{FF2B5EF4-FFF2-40B4-BE49-F238E27FC236}">
                  <a16:creationId xmlns:a16="http://schemas.microsoft.com/office/drawing/2014/main" id="{21E9AC6A-D166-49FF-BEC8-A2DF41694141}"/>
                </a:ext>
              </a:extLst>
            </xdr:cNvPr>
            <xdr:cNvSpPr txBox="1"/>
          </xdr:nvSpPr>
          <xdr:spPr>
            <a:xfrm>
              <a:off x="1741713" y="435429"/>
              <a:ext cx="3048002" cy="281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latin typeface="Arial" panose="020B0604020202020204" pitchFamily="34" charset="0"/>
                  <a:cs typeface="Arial" panose="020B0604020202020204" pitchFamily="34" charset="0"/>
                </a:rPr>
                <a:t>TABLA N°1 - LIMITES SHGC MINERGIE</a:t>
              </a:r>
            </a:p>
          </xdr:txBody>
        </xdr:sp>
      </xdr:grpSp>
    </xdr:grpSp>
    <xdr:clientData/>
  </xdr:twoCellAnchor>
  <mc:AlternateContent xmlns:mc="http://schemas.openxmlformats.org/markup-compatibility/2006">
    <mc:Choice xmlns:a14="http://schemas.microsoft.com/office/drawing/2010/main" Requires="a14">
      <xdr:twoCellAnchor editAs="oneCell">
        <xdr:from>
          <xdr:col>1</xdr:col>
          <xdr:colOff>31750</xdr:colOff>
          <xdr:row>108</xdr:row>
          <xdr:rowOff>82550</xdr:rowOff>
        </xdr:from>
        <xdr:to>
          <xdr:col>1</xdr:col>
          <xdr:colOff>666750</xdr:colOff>
          <xdr:row>109</xdr:row>
          <xdr:rowOff>76199</xdr:rowOff>
        </xdr:to>
        <xdr:pic>
          <xdr:nvPicPr>
            <xdr:cNvPr id="43182" name="Imagen 1">
              <a:extLst>
                <a:ext uri="{FF2B5EF4-FFF2-40B4-BE49-F238E27FC236}">
                  <a16:creationId xmlns:a16="http://schemas.microsoft.com/office/drawing/2014/main" id="{A5B258AE-E187-4332-31E4-D5C3FF6AA8C5}"/>
                </a:ext>
              </a:extLst>
            </xdr:cNvPr>
            <xdr:cNvPicPr>
              <a:picLocks noChangeAspect="1" noChangeArrowheads="1"/>
              <a:extLst>
                <a:ext uri="{84589F7E-364E-4C9E-8A38-B11213B215E9}">
                  <a14:cameraTool cellRange="'[1]Anexo 1'!$G$46" spid="_x0000_s83563"/>
                </a:ext>
              </a:extLst>
            </xdr:cNvPicPr>
          </xdr:nvPicPr>
          <xdr:blipFill>
            <a:blip xmlns:r="http://schemas.openxmlformats.org/officeDocument/2006/relationships" r:embed="rId1">
              <a:extLst>
                <a:ext uri="{28A0092B-C50C-407E-A947-70E740481C1C}">
                  <a14:useLocalDpi val="0"/>
                </a:ext>
              </a:extLst>
            </a:blip>
            <a:srcRect b="50807"/>
            <a:stretch>
              <a:fillRect/>
            </a:stretch>
          </xdr:blipFill>
          <xdr:spPr bwMode="auto">
            <a:xfrm>
              <a:off x="349250" y="26892250"/>
              <a:ext cx="635000" cy="152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18</xdr:col>
      <xdr:colOff>115888</xdr:colOff>
      <xdr:row>3</xdr:row>
      <xdr:rowOff>31936</xdr:rowOff>
    </xdr:from>
    <xdr:to>
      <xdr:col>21</xdr:col>
      <xdr:colOff>511662</xdr:colOff>
      <xdr:row>18</xdr:row>
      <xdr:rowOff>12676</xdr:rowOff>
    </xdr:to>
    <xdr:pic>
      <xdr:nvPicPr>
        <xdr:cNvPr id="14" name="Picture 13">
          <a:extLst>
            <a:ext uri="{FF2B5EF4-FFF2-40B4-BE49-F238E27FC236}">
              <a16:creationId xmlns:a16="http://schemas.microsoft.com/office/drawing/2014/main" id="{F1D7BCD6-A14C-CAF2-F56D-FDEBDF5B7333}"/>
            </a:ext>
          </a:extLst>
        </xdr:cNvPr>
        <xdr:cNvPicPr>
          <a:picLocks noChangeAspect="1"/>
        </xdr:cNvPicPr>
      </xdr:nvPicPr>
      <xdr:blipFill>
        <a:blip xmlns:r="http://schemas.openxmlformats.org/officeDocument/2006/relationships" r:embed="rId1"/>
        <a:stretch>
          <a:fillRect/>
        </a:stretch>
      </xdr:blipFill>
      <xdr:spPr>
        <a:xfrm>
          <a:off x="15613623" y="693083"/>
          <a:ext cx="2782626" cy="30175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bpgroup.sharepoint.com/sites/EBPChileTest/Freigegebene%20Dokumente/220172_Minergie%20Chile/12_Proyectos/Z.%20FSM/FSM_FINAL/FSM%20(A5).xlsx" TargetMode="External"/><Relationship Id="rId1" Type="http://schemas.openxmlformats.org/officeDocument/2006/relationships/externalLinkPath" Target="/sites/EBPChileTest/Freigegebene%20Dokumente/220172_Minergie%20Chile/12_Proyectos/Z.%20FSM/FSM_FINAL/FSM%20(A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sO3-EoItBUapU3tYCyRyK45Cun7D2uJJsG6Ek8Y8SyhWflp2LuhdTIUmfcMjRXd0" itemId="01Y4HWUSROV2YLJYK6JZGJM4HBPFCBYJNW">
      <xxl21:absoluteUrl r:id="rId2"/>
    </xxl21:alternateUrls>
    <sheetNames>
      <sheetName val="FSM"/>
      <sheetName val="Formula limites"/>
      <sheetName val="Anexo 1"/>
      <sheetName val="Anexo 2"/>
      <sheetName val="Voladizo"/>
      <sheetName val="Retranqueo"/>
      <sheetName val="Lama horizontal"/>
      <sheetName val="Lama vertical"/>
    </sheetNames>
    <sheetDataSet>
      <sheetData sheetId="0"/>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Arce, Pedro" id="{F586FB8B-81E3-48C4-9B90-37696875E026}" userId="S::Pedro.Arce@ebpchile.cl::da3411ce-0f06-49a4-aa7d-45be0a41644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16482B5-2B5E-4315-A110-EF6A07E1A73C}" name="Tabla510" displayName="Tabla510" ref="L10:M33" totalsRowShown="0" headerRowDxfId="315" dataDxfId="314">
  <autoFilter ref="L10:M33" xr:uid="{D16482B5-2B5E-4315-A110-EF6A07E1A73C}"/>
  <tableColumns count="2">
    <tableColumn id="1" xr3:uid="{971F0976-5563-4169-8EDA-D233DFF8ADB6}" name="Biblioteca Personal" dataDxfId="313"/>
    <tableColumn id="2" xr3:uid="{FD195D3D-305C-44C7-B7B8-74F88D32B456}" name="Capacidad Calorifica [kJ/m2/K]" dataDxfId="312"/>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75E8BA6-7BFC-48A5-958D-A57C98821BF6}" name="Tabla17" displayName="Tabla17" ref="P108:Q109" totalsRowShown="0" headerRowDxfId="87" dataDxfId="86">
  <autoFilter ref="P108:Q109" xr:uid="{575E8BA6-7BFC-48A5-958D-A57C98821BF6}"/>
  <tableColumns count="2">
    <tableColumn id="1" xr3:uid="{C4657779-25F1-44C3-ADF4-D2FF2830ACD5}" name="Tipo1" dataDxfId="85"/>
    <tableColumn id="2" xr3:uid="{C2E9D44E-3937-4EC3-ACE1-8DEC08CF3456}" name="tipo 2" dataDxfId="8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9036722-8F3E-4291-AFF0-56701E6495EE}" name="Tabla151722" displayName="Tabla151722" ref="P141:R143" totalsRowShown="0" headerRowDxfId="83" dataDxfId="82" headerRowBorderDxfId="80" tableBorderDxfId="81">
  <autoFilter ref="P141:R143" xr:uid="{E9036722-8F3E-4291-AFF0-56701E6495EE}"/>
  <tableColumns count="3">
    <tableColumn id="1" xr3:uid="{8622164C-01F0-49EA-BFAD-177E9027B701}" name="Tipo de cocina" dataDxfId="79"/>
    <tableColumn id="2" xr3:uid="{EDF1F098-6B29-4A5B-BE39-DCBD7A477271}" name="Requerimiento" dataDxfId="78"/>
    <tableColumn id="3" xr3:uid="{79816D23-0F41-4965-B2A2-5610BCA4E594}" name="unidad" dataDxfId="7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88F24A6-8F93-42E3-82F5-E78B74EDC7F4}" name="Tabla2" displayName="Tabla2" ref="G2:H33" totalsRowShown="0" headerRowDxfId="38" dataDxfId="37">
  <autoFilter ref="G2:H33" xr:uid="{C88F24A6-8F93-42E3-82F5-E78B74EDC7F4}"/>
  <tableColumns count="2">
    <tableColumn id="1" xr3:uid="{21A1DD35-6A18-4E61-A33C-A9D4E406C954}" name="Paquete Piso" dataDxfId="36"/>
    <tableColumn id="2" xr3:uid="{DBB9B076-933D-40A2-BEEB-157A2A521A8F}" name="Capacidad calorifica" dataDxfId="35"/>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C27D45F-1AE0-4C7B-9A57-E6DD52F34EA5}" name="Biblioteca.Minergie.Paquetes" displayName="Biblioteca.Minergie.Paquetes" ref="J2:J33" totalsRowShown="0" headerRowDxfId="34" dataDxfId="33">
  <autoFilter ref="J2:J33" xr:uid="{DC27D45F-1AE0-4C7B-9A57-E6DD52F34EA5}"/>
  <tableColumns count="1">
    <tableColumn id="1" xr3:uid="{29323279-DB3D-4BAA-9777-476AFCFAAAFB}" name="Biblioteca.Minergie.Paquetes" dataDxfId="32"/>
  </tableColumns>
  <tableStyleInfo name="TableStyleLight1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A21289E-4BCC-4333-97FC-7C25D7ACE719}" name="Biblioteca.Personal.Paquetes" displayName="Biblioteca.Personal.Paquetes" ref="K2:K33" totalsRowShown="0" headerRowDxfId="31" dataDxfId="30">
  <autoFilter ref="K2:K33" xr:uid="{AA21289E-4BCC-4333-97FC-7C25D7ACE719}"/>
  <tableColumns count="1">
    <tableColumn id="1" xr3:uid="{188AE93B-0B0E-4732-947A-E13654C15ACA}" name="Biblioteca.Personal.Paquetes" dataDxfId="29">
      <calculatedColumnFormula>'A4'!L11</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745B352-2B94-47B5-9672-1B3C1065C9F2}" name="Factoresemisión" displayName="Factoresemisión" ref="A31:D37" totalsRowShown="0" headerRowBorderDxfId="27" tableBorderDxfId="28" totalsRowBorderDxfId="26">
  <autoFilter ref="A31:D37" xr:uid="{F745B352-2B94-47B5-9672-1B3C1065C9F2}"/>
  <tableColumns count="4">
    <tableColumn id="1" xr3:uid="{F34158A9-28FF-4D31-8E3F-A86E458728A7}" name="Fuente de energía" dataDxfId="25"/>
    <tableColumn id="2" xr3:uid="{71922ABA-8016-4AB0-925F-3C0AD8EA0F89}" name="Factor de emisión KgCO2/KWh" dataDxfId="24"/>
    <tableColumn id="3" xr3:uid="{65D8AD4C-7024-4647-B854-DBD84502A268}" name="País" dataDxfId="23"/>
    <tableColumn id="4" xr3:uid="{2B4D4328-2555-41B6-B020-2C4581D4C163}" name="Fuente" dataDxfId="2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9AF787-1740-4BCE-B084-2AB3A586C82A}" name="Bilioteca.Minergie" displayName="Bilioteca.Minergie" ref="B41:B47" totalsRowShown="0" dataDxfId="21" tableBorderDxfId="20">
  <autoFilter ref="B41:B47" xr:uid="{309AF787-1740-4BCE-B084-2AB3A586C82A}"/>
  <tableColumns count="1">
    <tableColumn id="1" xr3:uid="{1403DF6B-E38F-41E9-B1D9-504FA49023E9}" name="Tipo.Energético.Minergie" dataDxfId="19"/>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AD859B8-55A9-4AD8-84CE-223DA46A06A5}" name="Tipo.Energético.Personal" displayName="Tipo.Energético.Personal" ref="C41:C53" totalsRowShown="0">
  <autoFilter ref="C41:C53" xr:uid="{FAD859B8-55A9-4AD8-84CE-223DA46A06A5}"/>
  <tableColumns count="1">
    <tableColumn id="1" xr3:uid="{1370F447-190A-4F84-AD67-0B99F218F3AA}" name="Tipo.Energético.Personal" dataDxfId="18">
      <calculatedColumnFormula>'A7'!K108</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11418D-8DF2-4E4F-A2F6-1F44897C7B3D}" name="Material.Biblioteca.Minergie" displayName="Material.Biblioteca.Minergie" ref="I69:I122" totalsRowShown="0" headerRowDxfId="17" dataDxfId="16" tableBorderDxfId="15">
  <autoFilter ref="I69:I122" xr:uid="{2511418D-8DF2-4E4F-A2F6-1F44897C7B3D}"/>
  <tableColumns count="1">
    <tableColumn id="1" xr3:uid="{05D84E78-C0BB-4C70-AB43-5CCF4D743C82}" name="Material.Biblioteca.Minergie" dataDxfId="14">
      <calculatedColumnFormula>B2</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4A67920-8514-4BA5-A1C2-E7C644067ADF}" name="Material.Biblioteca.Personal" displayName="Material.Biblioteca.Personal" ref="J69:J115" totalsRowShown="0" headerRowDxfId="13" dataDxfId="12" tableBorderDxfId="11">
  <autoFilter ref="J69:J115" xr:uid="{94A67920-8514-4BA5-A1C2-E7C644067ADF}"/>
  <tableColumns count="1">
    <tableColumn id="1" xr3:uid="{E162886E-9204-4C1E-B089-6C09FE5AD337}" name="Material.Biblioteca.Personal" dataDxfId="10">
      <calculatedColumnFormula>'A7'!C105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1C635B0-6590-4183-AF13-C5F99D041384}" name="Tabla611" displayName="Tabla611" ref="B8:I18" totalsRowShown="0" headerRowDxfId="311" dataDxfId="310" headerRowBorderDxfId="308" tableBorderDxfId="309">
  <autoFilter ref="B8:I18" xr:uid="{C1C635B0-6590-4183-AF13-C5F99D04138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B8FFC09-073C-4DA9-A2F8-185132B6EA13}" name="Nombre" dataDxfId="307"/>
    <tableColumn id="2" xr3:uid="{1AF04A8B-19B4-41D0-BB1B-E2BBFA0386EC}" name="Superficie Muros tipo 1 exteriores sin ventanas [m2]" dataDxfId="306"/>
    <tableColumn id="3" xr3:uid="{37557336-2A74-47DC-B6E4-4512ED297991}" name="Superficie Muros tipo 2 exteriores sin ventanas [m2]" dataDxfId="305"/>
    <tableColumn id="12" xr3:uid="{9DD91EF5-23D3-4404-B5CA-7C486D79395E}" name="Superficie particiones interiores [m2]" dataDxfId="304">
      <calculatedColumnFormula>+(4*2)+(4*2)*2.3</calculatedColumnFormula>
    </tableColumn>
    <tableColumn id="6" xr3:uid="{446F290B-2100-4098-8DB0-1D74F3C13F7F}" name="m2_x000a_Ventanas" dataDxfId="303">
      <calculatedColumnFormula>#REF!*#REF!*#REF!</calculatedColumnFormula>
    </tableColumn>
    <tableColumn id="8" xr3:uid="{2B1F8DA5-FA0B-42DD-88CE-3635DB7A2A58}" name="m2_x000a_Puertas exteriores" dataDxfId="302"/>
    <tableColumn id="10" xr3:uid="{B8CABAB6-D64C-4985-A4C8-8F0F51F896DA}" name="m2_x000a_Puertas interiores" dataDxfId="301">
      <calculatedColumnFormula>0.8*2</calculatedColumnFormula>
    </tableColumn>
    <tableColumn id="11" xr3:uid="{F0AA7CD6-63CF-49C4-A247-6996B4FCEA1D}" name="Total superficie Ventanas y puertas exteriores [m2]" dataDxfId="300">
      <calculatedColumnFormula>Tabla611[[#This Row],[m2
Puertas exteriores]]+Tabla611[[#This Row],[m2
Ventanas]]</calculatedColumnFormula>
    </tableColumn>
  </tableColumns>
  <tableStyleInfo name="Estilo de tabla 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4C0AC4-A1E7-4453-A906-789F3EE17C43}" name="BIBLIOTECA.MINERGIE" displayName="BIBLIOTECA.MINERGIE" ref="B1:H56" totalsRowShown="0" headerRowDxfId="9" dataDxfId="8" tableBorderDxfId="7">
  <autoFilter ref="B1:H56" xr:uid="{5A4C0AC4-A1E7-4453-A906-789F3EE17C43}"/>
  <tableColumns count="7">
    <tableColumn id="1" xr3:uid="{2BA491BE-28C3-4594-B70F-EAE9B43CE0DD}" name="Material.Biblioteca.Minergie" dataDxfId="6"/>
    <tableColumn id="2" xr3:uid="{FB1E8ED0-5BCD-4C49-B938-B6412C15E216}" name="Unidad de medida" dataDxfId="5"/>
    <tableColumn id="3" xr3:uid="{0C34F5DF-816B-48DF-B1B6-D34A5F0CE764}" name="kgCO2e" dataDxfId="4"/>
    <tableColumn id="4" xr3:uid="{4D97FEC4-12D5-46E2-9639-A540B47D0701}" name="N° DAP" dataDxfId="3"/>
    <tableColumn id="5" xr3:uid="{5382E36B-E586-448C-B187-4469A5D7A147}" name="Fecha Caducidad" dataDxfId="2"/>
    <tableColumn id="6" xr3:uid="{A0D82B0C-F05F-4AB2-B31C-9B509E9E8AE9}" name="País" dataDxfId="1"/>
    <tableColumn id="7" xr3:uid="{A7AFFC51-DC1B-454A-9713-39FE29FE83ED}" name="Comentario"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0360989-C520-4199-BA21-545149CC4478}" name="BIBLIOTECA.PERSONAL13" displayName="BIBLIOTECA.PERSONAL13" ref="C107:H141" totalsRowShown="0" headerRowDxfId="283" dataDxfId="282" headerRowBorderDxfId="280" tableBorderDxfId="281" totalsRowBorderDxfId="279">
  <autoFilter ref="C107:H141" xr:uid="{D0360989-C520-4199-BA21-545149CC4478}">
    <filterColumn colId="0" hiddenButton="1"/>
    <filterColumn colId="1" hiddenButton="1"/>
    <filterColumn colId="2" hiddenButton="1"/>
    <filterColumn colId="3" hiddenButton="1"/>
    <filterColumn colId="4" hiddenButton="1"/>
    <filterColumn colId="5" hiddenButton="1"/>
  </autoFilter>
  <tableColumns count="6">
    <tableColumn id="1" xr3:uid="{43DA706B-A8DC-4718-BA03-9941275061B9}" name="Material.Biblioteca.Personal" dataDxfId="278"/>
    <tableColumn id="2" xr3:uid="{923C6D09-8568-40EE-ADE8-1C9C5D7827F1}" name="Unidad de medida" dataDxfId="277"/>
    <tableColumn id="3" xr3:uid="{D9009798-BAD5-493D-B4A3-1936347479D1}" name="kgCO2e" dataDxfId="276"/>
    <tableColumn id="4" xr3:uid="{CE30C627-C52E-41AC-BA5C-FB5D18E49B2B}" name="N° DAP" dataDxfId="275"/>
    <tableColumn id="7" xr3:uid="{34B111B2-BE98-46A8-B9F0-B7490E6D5B31}" name="Fecha Caducidad" dataDxfId="274"/>
    <tableColumn id="5" xr3:uid="{CA481C6C-C0B4-4A13-9782-752DB22CCE1C}" name="Vencimiento" dataDxfId="273">
      <calculatedColumnFormula>BIBLIOTECA.PERSONAL13[[#This Row],[Fecha Caducidad]]-$H$106</calculatedColumnFormula>
    </tableColumn>
  </tableColumns>
  <tableStyleInfo name="TableStyleLight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654350B-0623-4598-BC70-527437FFE7BF}" name="Energético.Personal" displayName="Energético.Personal" ref="K107:M115" totalsRowShown="0" headerRowDxfId="272" dataDxfId="271" headerRowBorderDxfId="269" tableBorderDxfId="270" totalsRowBorderDxfId="268">
  <autoFilter ref="K107:M115" xr:uid="{9654350B-0623-4598-BC70-527437FFE7BF}">
    <filterColumn colId="0" hiddenButton="1"/>
    <filterColumn colId="1" hiddenButton="1"/>
    <filterColumn colId="2" hiddenButton="1"/>
  </autoFilter>
  <tableColumns count="3">
    <tableColumn id="1" xr3:uid="{EFF3A5C6-B44D-4470-A843-3DF1CE39BEDF}" name="Otro Energético" dataDxfId="267"/>
    <tableColumn id="2" xr3:uid="{1BFB056C-D824-49DB-AAA1-800F51C6BE86}" name="Factor de emisión" dataDxfId="266"/>
    <tableColumn id="3" xr3:uid="{B6E2731E-6F45-48A6-965C-0538DF54BBB9}" name="Fuente" dataDxfId="26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0B71283-AB88-4D4B-8B7F-5BEA333DEAFB}" name="Sistema.Fotovoltaico" displayName="Sistema.Fotovoltaico" ref="P134:P136" totalsRowShown="0" headerRowDxfId="120" dataDxfId="119" headerRowBorderDxfId="117" tableBorderDxfId="118" totalsRowBorderDxfId="116">
  <autoFilter ref="P134:P136" xr:uid="{F0B71283-AB88-4D4B-8B7F-5BEA333DEAFB}"/>
  <tableColumns count="1">
    <tableColumn id="1" xr3:uid="{24861B64-A659-40A0-90F4-996A2850110F}" name="Sistema.Fotovoltaico" dataDxfId="115"/>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0FD55E3-541A-435D-BE5D-A0D10F213013}" name="Colector.solar" displayName="Colector.solar" ref="Q134:Q136" totalsRowShown="0" headerRowDxfId="114" dataDxfId="113" headerRowBorderDxfId="111" tableBorderDxfId="112" totalsRowBorderDxfId="110">
  <autoFilter ref="Q134:Q136" xr:uid="{A0FD55E3-541A-435D-BE5D-A0D10F213013}"/>
  <tableColumns count="1">
    <tableColumn id="1" xr3:uid="{B4AF0A90-1DD5-41EF-A88E-5A70C481C780}" name="Colector.solar" dataDxfId="10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B2A3FEB-AA77-4D40-B81B-B6273032FC58}" name="Otros.sistemas" displayName="Otros.sistemas" ref="R134:S136" totalsRowShown="0" headerRowDxfId="108" dataDxfId="107" headerRowBorderDxfId="105" tableBorderDxfId="106" totalsRowBorderDxfId="104">
  <autoFilter ref="R134:S136" xr:uid="{EB2A3FEB-AA77-4D40-B81B-B6273032FC58}"/>
  <tableColumns count="2">
    <tableColumn id="1" xr3:uid="{C0F63215-11C5-4379-BA0C-786D959418AD}" name="Otros.sistemas" dataDxfId="103"/>
    <tableColumn id="2" xr3:uid="{0C465C9D-2E6C-4660-B468-E7A050A7C1C0}" name="Mixto" dataDxfId="10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17601F8-1FE5-4FC6-82E6-F909F2F73406}" name="Enegerticos.FV" displayName="Enegerticos.FV" ref="P122:R124" totalsRowShown="0" headerRowDxfId="101" dataDxfId="100" headerRowBorderDxfId="98" tableBorderDxfId="99">
  <autoFilter ref="P122:R124" xr:uid="{A17601F8-1FE5-4FC6-82E6-F909F2F73406}"/>
  <tableColumns count="3">
    <tableColumn id="1" xr3:uid="{79506209-3DEB-4EB9-9DE5-BB61A8438F85}" name="Tipo de cocina" dataDxfId="97"/>
    <tableColumn id="2" xr3:uid="{221D0C68-8630-47A6-8D6D-FC921AE8E7D4}" name="Requerimiento" dataDxfId="96"/>
    <tableColumn id="3" xr3:uid="{5BFFC4A9-8080-430E-B551-AFCE81C75FAE}" name="unidad" dataDxfId="9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F2AFB05-4DDE-4495-8A62-CBA84B376CB7}" name="Tabla1517" displayName="Tabla1517" ref="P129:R131" totalsRowShown="0" headerRowDxfId="94" dataDxfId="93" headerRowBorderDxfId="91" tableBorderDxfId="92">
  <autoFilter ref="P129:R131" xr:uid="{0F2AFB05-4DDE-4495-8A62-CBA84B376CB7}"/>
  <tableColumns count="3">
    <tableColumn id="1" xr3:uid="{6C00E5DB-BEE9-429F-A6D0-F64BD69C15E7}" name="Tipo de cocina" dataDxfId="90"/>
    <tableColumn id="2" xr3:uid="{B43E6F51-6B1B-42B2-BFA1-488CB8DF9FCA}" name="Requerimiento" dataDxfId="89"/>
    <tableColumn id="3" xr3:uid="{C6D3C96C-9C39-458A-9D81-C3C483D33852}" name="unidad" dataDxfId="8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X29" dT="2023-07-14T21:55:53.31" personId="{F586FB8B-81E3-48C4-9B90-37696875E026}" id="{378576E3-5D01-4F35-B13A-8022D547C2C3}">
    <text>Automatico de tabla A.2 anexo 2</text>
  </threadedComment>
  <threadedComment ref="AX36" dT="2023-07-14T21:58:21.70" personId="{F586FB8B-81E3-48C4-9B90-37696875E026}" id="{EC033E50-BD8C-4396-A1CD-9DC33B99B0E4}">
    <text>validar con formula 1</text>
  </threadedComment>
  <threadedComment ref="AX36" dT="2023-07-19T19:56:45.64" personId="{F586FB8B-81E3-48C4-9B90-37696875E026}" id="{B421743F-5934-4A5D-9302-D40D44F648AE}" parentId="{EC033E50-BD8C-4396-A1CD-9DC33B99B0E4}">
    <text>hecho</text>
  </threadedComment>
  <threadedComment ref="AX42" dT="2023-07-14T21:58:41.05" personId="{F586FB8B-81E3-48C4-9B90-37696875E026}" id="{8DECE626-6E91-472F-A5ED-05A5AF5FA714}">
    <text>validar con formula 1</text>
  </threadedComment>
  <threadedComment ref="AX42" dT="2023-07-19T19:58:56.33" personId="{F586FB8B-81E3-48C4-9B90-37696875E026}" id="{F872B5E6-4FC0-4D81-90B9-0BF999B32798}" parentId="{8DECE626-6E91-472F-A5ED-05A5AF5FA714}">
    <text>hecho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b.mx/sener/articulos/atlas-nacional-de-zonas-con-alto-potencial-de-energias-limpias?idiom=es" TargetMode="External"/><Relationship Id="rId1" Type="http://schemas.openxmlformats.org/officeDocument/2006/relationships/hyperlink" Target="https://solar.minenergia.cl/fotovoltaico" TargetMode="External"/><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table" Target="../tables/table5.xml"/><Relationship Id="rId7" Type="http://schemas.openxmlformats.org/officeDocument/2006/relationships/table" Target="../tables/table9.xml"/><Relationship Id="rId2" Type="http://schemas.openxmlformats.org/officeDocument/2006/relationships/vmlDrawing" Target="../drawings/vmlDrawing21.vml"/><Relationship Id="rId1" Type="http://schemas.openxmlformats.org/officeDocument/2006/relationships/printerSettings" Target="../printerSettings/printerSettings20.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 Id="rId9" Type="http://schemas.openxmlformats.org/officeDocument/2006/relationships/table" Target="../tables/table1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vmlDrawing" Target="../drawings/vmlDrawing25.vml"/><Relationship Id="rId1" Type="http://schemas.openxmlformats.org/officeDocument/2006/relationships/drawing" Target="../drawings/drawing12.xml"/><Relationship Id="rId6" Type="http://schemas.openxmlformats.org/officeDocument/2006/relationships/comments" Target="../comments2.xml"/><Relationship Id="rId5" Type="http://schemas.openxmlformats.org/officeDocument/2006/relationships/table" Target="../tables/table14.xml"/><Relationship Id="rId4" Type="http://schemas.openxmlformats.org/officeDocument/2006/relationships/table" Target="../tables/table13.xml"/></Relationships>
</file>

<file path=xl/worksheets/_rels/sheet26.xml.rels><?xml version="1.0" encoding="UTF-8" standalone="yes"?>
<Relationships xmlns="http://schemas.openxmlformats.org/package/2006/relationships"><Relationship Id="rId8" Type="http://schemas.openxmlformats.org/officeDocument/2006/relationships/hyperlink" Target="https://api.environdec.com/api/v1/EPDLibrary/Files/9fb9c0c5-da4f-465a-aca7-35f3e8c2be9b/Data" TargetMode="External"/><Relationship Id="rId13" Type="http://schemas.openxmlformats.org/officeDocument/2006/relationships/hyperlink" Target="https://www.epddanmark.dk/media/2gldova2/md-21057-en.pdf" TargetMode="External"/><Relationship Id="rId18" Type="http://schemas.openxmlformats.org/officeDocument/2006/relationships/hyperlink" Target="https://api.environdec.com/api/v1/EPDLibrary/Files/43bcc8d7-b04b-4ced-86e2-08db523a4d9e/Data" TargetMode="External"/><Relationship Id="rId3" Type="http://schemas.openxmlformats.org/officeDocument/2006/relationships/hyperlink" Target="https://www.igbc.ie/wp-content/uploads/2019/04/EPD-Mannok-EPS-2-04-19-EPDIE-18-16.pdf" TargetMode="External"/><Relationship Id="rId21" Type="http://schemas.openxmlformats.org/officeDocument/2006/relationships/printerSettings" Target="../printerSettings/printerSettings24.bin"/><Relationship Id="rId7" Type="http://schemas.openxmlformats.org/officeDocument/2006/relationships/hyperlink" Target="https://api.environdec.com/api/v1/EPDLibrary/Files/5d5fa8d3-2dff-4a52-a983-3a82361d3f11/Data" TargetMode="External"/><Relationship Id="rId12" Type="http://schemas.openxmlformats.org/officeDocument/2006/relationships/hyperlink" Target="https://api.environdec.com/api/v1/EPDLibrary/Files/4ab1ebc5-aa39-4993-a589-08dae89fe9e4/Data" TargetMode="External"/><Relationship Id="rId17" Type="http://schemas.openxmlformats.org/officeDocument/2006/relationships/hyperlink" Target="https://api.environdec.com/api/v1/EPDLibrary/Files/817bd065-a963-4fc5-cef4-08daa1eb7336/Data" TargetMode="External"/><Relationship Id="rId25" Type="http://schemas.openxmlformats.org/officeDocument/2006/relationships/table" Target="../tables/table17.xml"/><Relationship Id="rId2" Type="http://schemas.openxmlformats.org/officeDocument/2006/relationships/hyperlink" Target="https://info.nsf.org/Certified/Sustain/ProdCert/EPD10197.pdf" TargetMode="External"/><Relationship Id="rId16" Type="http://schemas.openxmlformats.org/officeDocument/2006/relationships/hyperlink" Target="https://api.environdec.com/api/v1/EPDLibrary/Files/278beebb-0e6b-4647-0319-08d8f01e26c9/Data" TargetMode="External"/><Relationship Id="rId20" Type="http://schemas.openxmlformats.org/officeDocument/2006/relationships/hyperlink" Target="https://api.environdec.com/api/v1/EPDLibrary/Files/0c7f542b-6ea2-4efb-ace5-2413d8d1ad3f/Data" TargetMode="External"/><Relationship Id="rId1" Type="http://schemas.openxmlformats.org/officeDocument/2006/relationships/hyperlink" Target="https://ibudata.lca-data.com/resource/datastocks/7f92c48a-07c6-4a0c-91fd-4166e6138402/processes/455d1522-9e1a-4f1d-badd-28a6c847833a/epd?version=00.01.000" TargetMode="External"/><Relationship Id="rId6" Type="http://schemas.openxmlformats.org/officeDocument/2006/relationships/hyperlink" Target="https://api.environdec.com/api/v1/EPDLibrary/Files/de4d66c9-7bb9-4c35-9b4e-08da3d5507cb/Data" TargetMode="External"/><Relationship Id="rId11" Type="http://schemas.openxmlformats.org/officeDocument/2006/relationships/hyperlink" Target="https://api.environdec.com/api/v1/EPDLibrary/Files/10092f30-55a6-40dc-39c2-08d99c9745fc/Data" TargetMode="External"/><Relationship Id="rId24" Type="http://schemas.openxmlformats.org/officeDocument/2006/relationships/table" Target="../tables/table16.xml"/><Relationship Id="rId5" Type="http://schemas.openxmlformats.org/officeDocument/2006/relationships/hyperlink" Target="https://api.environdec.com/api/v1/EPDLibrary/Files/de4d66c9-7bb9-4c35-9b4e-08da3d5507cb/Data" TargetMode="External"/><Relationship Id="rId15" Type="http://schemas.openxmlformats.org/officeDocument/2006/relationships/hyperlink" Target="https://volcan.cl/wp-content/uploads/2022/06/DAP-Aislanglass.pdf" TargetMode="External"/><Relationship Id="rId23" Type="http://schemas.openxmlformats.org/officeDocument/2006/relationships/table" Target="../tables/table15.xml"/><Relationship Id="rId10" Type="http://schemas.openxmlformats.org/officeDocument/2006/relationships/hyperlink" Target="https://volcan.cl/wp-content/uploads/2022/06/DAP-Volcanita.pdf" TargetMode="External"/><Relationship Id="rId19" Type="http://schemas.openxmlformats.org/officeDocument/2006/relationships/hyperlink" Target="https://api.environdec.com/api/v1/EPDLibrary/Files/d0843cdf-c43c-46a6-8ef2-08db7203e99c/Data" TargetMode="External"/><Relationship Id="rId4" Type="http://schemas.openxmlformats.org/officeDocument/2006/relationships/hyperlink" Target="https://api.environdec.com/api/v1/EPDLibrary/Files/6910b358-7445-4ff0-9b52-08da3d5507cb/Data" TargetMode="External"/><Relationship Id="rId9" Type="http://schemas.openxmlformats.org/officeDocument/2006/relationships/hyperlink" Target="http://materiales.gbce.es/wp-content/uploads/2022/06/EPD-MACY-PINTURA-INTERIOR-ES.pdf" TargetMode="External"/><Relationship Id="rId14" Type="http://schemas.openxmlformats.org/officeDocument/2006/relationships/hyperlink" Target="https://api.environdec.com/api/v1/EPDLibrary/Files/16cd74fc-c5e7-40bf-660b-08d8f3374fee/Data" TargetMode="External"/><Relationship Id="rId22" Type="http://schemas.openxmlformats.org/officeDocument/2006/relationships/drawing" Target="../drawings/drawing13.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energiaabierta.cl/visualizaciones/factor-de-emision-sic-sing/" TargetMode="External"/><Relationship Id="rId1" Type="http://schemas.openxmlformats.org/officeDocument/2006/relationships/hyperlink" Target="http://www.thermal.cl/docs/normas/conama___gui__a_para_la_estimacio__n_de_emisiones___retc__.pdf" TargetMode="External"/></Relationships>
</file>

<file path=xl/worksheets/_rels/sheet28.xml.rels><?xml version="1.0" encoding="UTF-8" standalone="yes"?>
<Relationships xmlns="http://schemas.openxmlformats.org/package/2006/relationships"><Relationship Id="rId13" Type="http://schemas.openxmlformats.org/officeDocument/2006/relationships/hyperlink" Target="https://www.kone.com/en/Images/KONE_MonoSpace_500_DX_EPD_22012714_tcm17-96160.pdf" TargetMode="External"/><Relationship Id="rId18" Type="http://schemas.openxmlformats.org/officeDocument/2006/relationships/hyperlink" Target="https://www.igbc.ie/wp-content/uploads/2019/04/EPD-Mannok-EPS-2-04-19-EPDIE-18-16.pdf" TargetMode="External"/><Relationship Id="rId26" Type="http://schemas.openxmlformats.org/officeDocument/2006/relationships/hyperlink" Target="https://www.epddanmark.dk/media/2gldova2/md-21057-en.pdf" TargetMode="External"/><Relationship Id="rId39" Type="http://schemas.openxmlformats.org/officeDocument/2006/relationships/hyperlink" Target="https://register.pep-ecopassport.org/pep/consult/mbesqrsCBZbWbKJq6-kJ3m2JfBkDSgTolqQnfAUXdbE/mbesqrsCBZbWbKJq6-kJ3nXTEwaL2H-VUQApFU2-Q6g" TargetMode="External"/><Relationship Id="rId21" Type="http://schemas.openxmlformats.org/officeDocument/2006/relationships/hyperlink" Target="https://api.environdec.com/api/v1/EPDLibrary/Files/342d21c2-fe21-49e4-cd02-08db4c1420c4/Data" TargetMode="External"/><Relationship Id="rId34" Type="http://schemas.openxmlformats.org/officeDocument/2006/relationships/hyperlink" Target="https://www.epditaly.it/en/wp-content/uploads/2016/12/220824_FINDO_EPD_aggregati-naturali_rev03-1.pdf" TargetMode="External"/><Relationship Id="rId42" Type="http://schemas.openxmlformats.org/officeDocument/2006/relationships/hyperlink" Target="https://register.pep-ecopassport.org/pep/consult/mbesqrsCBZbWbKJq6-kJ3itAcihcBIz5ewJYeRLslxE/mbesqrsCBZbWbKJq6-kJ3lQmBuGvAHsLUfQU9idjOpk" TargetMode="External"/><Relationship Id="rId47" Type="http://schemas.openxmlformats.org/officeDocument/2006/relationships/table" Target="../tables/table18.xml"/><Relationship Id="rId7" Type="http://schemas.openxmlformats.org/officeDocument/2006/relationships/hyperlink" Target="https://api.environdec.com/api/v1/EPDLibrary/Files/a4603084-01c1-4568-eb50-08da9c70488d/Data" TargetMode="External"/><Relationship Id="rId2" Type="http://schemas.openxmlformats.org/officeDocument/2006/relationships/hyperlink" Target="https://api.environdec.com/api/v1/EPDLibrary/Files/de4d66c9-7bb9-4c35-9b4e-08da3d5507cb/Data" TargetMode="External"/><Relationship Id="rId16" Type="http://schemas.openxmlformats.org/officeDocument/2006/relationships/hyperlink" Target="../../../../../../../MBZ/Downloads/CARR-10006-V02.01-FR.pdf" TargetMode="External"/><Relationship Id="rId29" Type="http://schemas.openxmlformats.org/officeDocument/2006/relationships/hyperlink" Target="https://info.nsf.org/Certified/Sustain/ProdCert/EPD10197.pdf" TargetMode="External"/><Relationship Id="rId11" Type="http://schemas.openxmlformats.org/officeDocument/2006/relationships/hyperlink" Target="https://api.environdec.com/api/v1/EPDLibrary/Files/03e7c611-21b8-4e38-a76e-08da599e304a/Data" TargetMode="External"/><Relationship Id="rId24" Type="http://schemas.openxmlformats.org/officeDocument/2006/relationships/hyperlink" Target="https://volcan.cl/wp-content/uploads/2022/06/DAP-Volcanita.pdf" TargetMode="External"/><Relationship Id="rId32" Type="http://schemas.openxmlformats.org/officeDocument/2006/relationships/hyperlink" Target="https://awc.org/wp-content/uploads/2021/11/AWC_EPD_NorthAmericanGluedLaminatedTimber_20200605.pdf" TargetMode="External"/><Relationship Id="rId37" Type="http://schemas.openxmlformats.org/officeDocument/2006/relationships/hyperlink" Target="https://register.pep-ecopassport.org/pep/consult/mbesqrsCBZbWbKJq6-kJ3iF524oJz8AErNuCOXItByg/mbesqrsCBZbWbKJq6-kJ3nXTEwaL2H-VUQApFU2-Q6g" TargetMode="External"/><Relationship Id="rId40" Type="http://schemas.openxmlformats.org/officeDocument/2006/relationships/hyperlink" Target="https://register.pep-ecopassport.org/pep/consult/mbesqrsCBZbWbKJq6-kJ3m_fuBQfpxbWUbYvW-NQ_1w/mbesqrsCBZbWbKJq6-kJ3nXTEwaL2H-VUQApFU2-Q6g" TargetMode="External"/><Relationship Id="rId45" Type="http://schemas.openxmlformats.org/officeDocument/2006/relationships/hyperlink" Target="https://register.pep-ecopassport.org/pep/consult/mbesqrsCBZbWbKJq6-kJ3nrNCHkzDtrIcNLrw5grLyM/mbesqrsCBZbWbKJq6-kJ3nXTEwaL2H-VUQApFU2-Q6g" TargetMode="External"/><Relationship Id="rId5" Type="http://schemas.openxmlformats.org/officeDocument/2006/relationships/hyperlink" Target="https://www.environdec.com/library/epd3362" TargetMode="External"/><Relationship Id="rId15" Type="http://schemas.openxmlformats.org/officeDocument/2006/relationships/hyperlink" Target="https://register.pep-ecopassport.org/pep/consult/mbesqrsCBZbWbKJq6-kJ3mjQIsx6FjeRH8abDzzfIj4/mbesqrsCBZbWbKJq6-kJ3nXTEwaL2H-VUQApFU2-Q6g" TargetMode="External"/><Relationship Id="rId23" Type="http://schemas.openxmlformats.org/officeDocument/2006/relationships/hyperlink" Target="https://api.environdec.com/api/v1/EPDLibrary/Files/6910b358-7445-4ff0-9b52-08da3d5507cb/Data" TargetMode="External"/><Relationship Id="rId28" Type="http://schemas.openxmlformats.org/officeDocument/2006/relationships/hyperlink" Target="https://www.environdec.com/library/epd2989" TargetMode="External"/><Relationship Id="rId36" Type="http://schemas.openxmlformats.org/officeDocument/2006/relationships/hyperlink" Target="https://register.pep-ecopassport.org/pep/consult/mbesqrsCBZbWbKJq6-kJ3iF524oJz8AErNuCOXItByg/mbesqrsCBZbWbKJq6-kJ3nXTEwaL2H-VUQApFU2-Q6g" TargetMode="External"/><Relationship Id="rId49" Type="http://schemas.openxmlformats.org/officeDocument/2006/relationships/table" Target="../tables/table20.xml"/><Relationship Id="rId10" Type="http://schemas.openxmlformats.org/officeDocument/2006/relationships/hyperlink" Target="https://api.environdec.com/api/v1/EPDLibrary/Files/9fb9c0c5-da4f-465a-aca7-35f3e8c2be9b/Data" TargetMode="External"/><Relationship Id="rId19" Type="http://schemas.openxmlformats.org/officeDocument/2006/relationships/hyperlink" Target="https://www.igbc.ie/epd/medite-exterior-mdf-board/" TargetMode="External"/><Relationship Id="rId31" Type="http://schemas.openxmlformats.org/officeDocument/2006/relationships/hyperlink" Target="https://api.environdec.com/api/v1/EPDLibrary/Files/43bcc8d7-b04b-4ced-86e2-08db523a4d9e/Data" TargetMode="External"/><Relationship Id="rId44" Type="http://schemas.openxmlformats.org/officeDocument/2006/relationships/hyperlink" Target="https://register.pep-ecopassport.org/pep/consult/mbesqrsCBZbWbKJq6-kJ3lspPAj0MVeStXN4E1uY6-Y/mbesqrsCBZbWbKJq6-kJ3nXTEwaL2H-VUQApFU2-Q6g" TargetMode="External"/><Relationship Id="rId4" Type="http://schemas.openxmlformats.org/officeDocument/2006/relationships/hyperlink" Target="https://www.environdec.com/library/epd3362" TargetMode="External"/><Relationship Id="rId9" Type="http://schemas.openxmlformats.org/officeDocument/2006/relationships/hyperlink" Target="https://api.environdec.com/api/v1/EPDLibrary/Files/a4603084-01c1-4568-eb50-08da9c70488d/Data" TargetMode="External"/><Relationship Id="rId14" Type="http://schemas.openxmlformats.org/officeDocument/2006/relationships/hyperlink" Target="../../../../../../../MBZ/Downloads/HITA-00001-V01.01-FR.pdf" TargetMode="External"/><Relationship Id="rId22" Type="http://schemas.openxmlformats.org/officeDocument/2006/relationships/hyperlink" Target="https://volcan.cl/wp-content/uploads/2022/06/DAP-Aislanglass.pdf" TargetMode="External"/><Relationship Id="rId27" Type="http://schemas.openxmlformats.org/officeDocument/2006/relationships/hyperlink" Target="https://www.igbc.ie/wp-content/uploads/2021/07/EPD-Steel-Formed-Sections-Ltd-6-7-2021-EPDIE-21-45-reissue-12-06-2023.pdf" TargetMode="External"/><Relationship Id="rId30" Type="http://schemas.openxmlformats.org/officeDocument/2006/relationships/hyperlink" Target="http://materiales.gbce.es/wp-content/uploads/2022/06/EPD-MACY-PINTURA-INTERIOR-ES.pdf" TargetMode="External"/><Relationship Id="rId35" Type="http://schemas.openxmlformats.org/officeDocument/2006/relationships/hyperlink" Target="https://cdn.dcs.bluescope.com.au/download/environmental-product-declaration-epd-zincalume-steel" TargetMode="External"/><Relationship Id="rId43" Type="http://schemas.openxmlformats.org/officeDocument/2006/relationships/hyperlink" Target="https://register.pep-ecopassport.org/pep/consult/mbesqrsCBZbWbKJq6-kJ3lspPAj0MVeStXN4E1uY6-Y/mbesqrsCBZbWbKJq6-kJ3nXTEwaL2H-VUQApFU2-Q6g" TargetMode="External"/><Relationship Id="rId48" Type="http://schemas.openxmlformats.org/officeDocument/2006/relationships/table" Target="../tables/table19.xml"/><Relationship Id="rId8" Type="http://schemas.openxmlformats.org/officeDocument/2006/relationships/hyperlink" Target="https://api.environdec.com/api/v1/EPDLibrary/Files/a4603084-01c1-4568-eb50-08da9c70488d/Data" TargetMode="External"/><Relationship Id="rId3" Type="http://schemas.openxmlformats.org/officeDocument/2006/relationships/hyperlink" Target="https://api.environdec.com/api/v1/EPDLibrary/Files/de4d66c9-7bb9-4c35-9b4e-08da3d5507cb/Data" TargetMode="External"/><Relationship Id="rId12" Type="http://schemas.openxmlformats.org/officeDocument/2006/relationships/hyperlink" Target="../../../../../../../MBZ/Downloads/UNIC-00031-V01.01-FR.pdf" TargetMode="External"/><Relationship Id="rId17" Type="http://schemas.openxmlformats.org/officeDocument/2006/relationships/hyperlink" Target="https://www.ecocel.ie/wp-content/uploads/2020/05/EPD-Ecocel-Cellulose-Fibre-Insulation-12.05.2020-EPDIE-20-24.pdf" TargetMode="External"/><Relationship Id="rId25" Type="http://schemas.openxmlformats.org/officeDocument/2006/relationships/hyperlink" Target="https://api.environdec.com/api/v1/EPDLibrary/Files/d0843cdf-c43c-46a6-8ef2-08db7203e99c/Data" TargetMode="External"/><Relationship Id="rId33" Type="http://schemas.openxmlformats.org/officeDocument/2006/relationships/hyperlink" Target="https://awc.org/wp-content/uploads/2021/11/AWC_EPD_NorthAmericanOrientedStrandBoard_20200605.pdf" TargetMode="External"/><Relationship Id="rId38" Type="http://schemas.openxmlformats.org/officeDocument/2006/relationships/hyperlink" Target="https://register.pep-ecopassport.org/pep/consult/mbesqrsCBZbWbKJq6-kJ3m2JfBkDSgTolqQnfAUXdbE/mbesqrsCBZbWbKJq6-kJ3nXTEwaL2H-VUQApFU2-Q6g" TargetMode="External"/><Relationship Id="rId46" Type="http://schemas.openxmlformats.org/officeDocument/2006/relationships/hyperlink" Target="https://register.pep-ecopassport.org/pep/consult/mbesqrsCBZbWbKJq6-kJ3nrNCHkzDtrIcNLrw5grLyM/mbesqrsCBZbWbKJq6-kJ3nXTEwaL2H-VUQApFU2-Q6g" TargetMode="External"/><Relationship Id="rId20" Type="http://schemas.openxmlformats.org/officeDocument/2006/relationships/hyperlink" Target="https://api.environdec.com/api/v1/EPDLibrary/Files/10092f30-55a6-40dc-39c2-08d99c9745fc/Data" TargetMode="External"/><Relationship Id="rId41" Type="http://schemas.openxmlformats.org/officeDocument/2006/relationships/hyperlink" Target="https://register.pep-ecopassport.org/pep/consult/mbesqrsCBZbWbKJq6-kJ3itAcihcBIz5ewJYeRLslxE/mbesqrsCBZbWbKJq6-kJ3lQmBuGvAHsLUfQU9idjOpk" TargetMode="External"/><Relationship Id="rId1" Type="http://schemas.openxmlformats.org/officeDocument/2006/relationships/hyperlink" Target="https://api.environdec.com/api/v1/EPDLibrary/Files/4ab1ebc5-aa39-4993-a589-08dae89fe9e4/Data" TargetMode="External"/><Relationship Id="rId6" Type="http://schemas.openxmlformats.org/officeDocument/2006/relationships/hyperlink" Target="https://api.environdec.com/api/v1/EPDLibrary/Files/e3f50eec-82bc-4186-aabc-08db4497f421/Data"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table" Target="../tables/table2.xml"/><Relationship Id="rId4" Type="http://schemas.openxmlformats.org/officeDocument/2006/relationships/table" Target="../tables/table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C64E9-C278-4E1C-BDF9-0E86596DB502}">
  <dimension ref="B1:L12"/>
  <sheetViews>
    <sheetView showGridLines="0" tabSelected="1" zoomScaleNormal="100" zoomScalePageLayoutView="80" workbookViewId="0">
      <selection activeCell="C18" sqref="C18"/>
    </sheetView>
  </sheetViews>
  <sheetFormatPr defaultColWidth="8.7109375" defaultRowHeight="12.75"/>
  <cols>
    <col min="1" max="1" width="5.28515625" customWidth="1"/>
  </cols>
  <sheetData>
    <row r="1" spans="2:12" s="114" customFormat="1" ht="26.85" customHeight="1">
      <c r="B1" s="22" t="s">
        <v>0</v>
      </c>
    </row>
    <row r="3" spans="2:12">
      <c r="B3" s="1059" t="s">
        <v>1</v>
      </c>
      <c r="C3" s="1059"/>
      <c r="D3" s="1059"/>
      <c r="E3" s="1059"/>
      <c r="F3" s="1059"/>
      <c r="G3" s="1059"/>
      <c r="H3" s="1059"/>
      <c r="I3" s="1059"/>
      <c r="J3" s="1059"/>
      <c r="K3" s="1059"/>
      <c r="L3" s="1059"/>
    </row>
    <row r="4" spans="2:12">
      <c r="B4" s="1059"/>
      <c r="C4" s="1059"/>
      <c r="D4" s="1059"/>
      <c r="E4" s="1059"/>
      <c r="F4" s="1059"/>
      <c r="G4" s="1059"/>
      <c r="H4" s="1059"/>
      <c r="I4" s="1059"/>
      <c r="J4" s="1059"/>
      <c r="K4" s="1059"/>
      <c r="L4" s="1059"/>
    </row>
    <row r="5" spans="2:12">
      <c r="B5" s="1059"/>
      <c r="C5" s="1059"/>
      <c r="D5" s="1059"/>
      <c r="E5" s="1059"/>
      <c r="F5" s="1059"/>
      <c r="G5" s="1059"/>
      <c r="H5" s="1059"/>
      <c r="I5" s="1059"/>
      <c r="J5" s="1059"/>
      <c r="K5" s="1059"/>
      <c r="L5" s="1059"/>
    </row>
    <row r="6" spans="2:12">
      <c r="B6" s="1059"/>
      <c r="C6" s="1059"/>
      <c r="D6" s="1059"/>
      <c r="E6" s="1059"/>
      <c r="F6" s="1059"/>
      <c r="G6" s="1059"/>
      <c r="H6" s="1059"/>
      <c r="I6" s="1059"/>
      <c r="J6" s="1059"/>
      <c r="K6" s="1059"/>
      <c r="L6" s="1059"/>
    </row>
    <row r="7" spans="2:12">
      <c r="B7" s="1059"/>
      <c r="C7" s="1059"/>
      <c r="D7" s="1059"/>
      <c r="E7" s="1059"/>
      <c r="F7" s="1059"/>
      <c r="G7" s="1059"/>
      <c r="H7" s="1059"/>
      <c r="I7" s="1059"/>
      <c r="J7" s="1059"/>
      <c r="K7" s="1059"/>
      <c r="L7" s="1059"/>
    </row>
    <row r="8" spans="2:12">
      <c r="B8" s="1059"/>
      <c r="C8" s="1059"/>
      <c r="D8" s="1059"/>
      <c r="E8" s="1059"/>
      <c r="F8" s="1059"/>
      <c r="G8" s="1059"/>
      <c r="H8" s="1059"/>
      <c r="I8" s="1059"/>
      <c r="J8" s="1059"/>
      <c r="K8" s="1059"/>
      <c r="L8" s="1059"/>
    </row>
    <row r="9" spans="2:12">
      <c r="B9" s="1059"/>
      <c r="C9" s="1059"/>
      <c r="D9" s="1059"/>
      <c r="E9" s="1059"/>
      <c r="F9" s="1059"/>
      <c r="G9" s="1059"/>
      <c r="H9" s="1059"/>
      <c r="I9" s="1059"/>
      <c r="J9" s="1059"/>
      <c r="K9" s="1059"/>
      <c r="L9" s="1059"/>
    </row>
    <row r="10" spans="2:12">
      <c r="B10" s="1059"/>
      <c r="C10" s="1059"/>
      <c r="D10" s="1059"/>
      <c r="E10" s="1059"/>
      <c r="F10" s="1059"/>
      <c r="G10" s="1059"/>
      <c r="H10" s="1059"/>
      <c r="I10" s="1059"/>
      <c r="J10" s="1059"/>
      <c r="K10" s="1059"/>
      <c r="L10" s="1059"/>
    </row>
    <row r="11" spans="2:12">
      <c r="B11" s="1059"/>
      <c r="C11" s="1059"/>
      <c r="D11" s="1059"/>
      <c r="E11" s="1059"/>
      <c r="F11" s="1059"/>
      <c r="G11" s="1059"/>
      <c r="H11" s="1059"/>
      <c r="I11" s="1059"/>
      <c r="J11" s="1059"/>
      <c r="K11" s="1059"/>
      <c r="L11" s="1059"/>
    </row>
    <row r="12" spans="2:12">
      <c r="B12" s="1059"/>
      <c r="C12" s="1059"/>
      <c r="D12" s="1059"/>
      <c r="E12" s="1059"/>
      <c r="F12" s="1059"/>
      <c r="G12" s="1059"/>
      <c r="H12" s="1059"/>
      <c r="I12" s="1059"/>
      <c r="J12" s="1059"/>
      <c r="K12" s="1059"/>
      <c r="L12" s="1059"/>
    </row>
  </sheetData>
  <sheetProtection algorithmName="SHA-512" hashValue="TndB8Ev1Ap0TK95UP9wH+tQfqEGr5hPqskboRE3OyBoV4IXyL9bXOUS4qg3+bssvFaMpavceGWOBql0Gxyl31A==" saltValue="mLlsgJ3qQ+oWIqvARgf56w==" spinCount="100000" sheet="1" objects="1" scenarios="1"/>
  <mergeCells count="1">
    <mergeCell ref="B3:L12"/>
  </mergeCells>
  <pageMargins left="0.7" right="0.7" top="0.98624999999999996" bottom="0.75" header="0.3" footer="0.3"/>
  <pageSetup paperSize="9" scale="81" orientation="landscape" r:id="rId1"/>
  <headerFooter>
    <oddFooter>&amp;L&amp;D&amp;R&amp;A</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B7DC3-5AB8-4F6A-8172-7C995EB7F4E4}">
  <dimension ref="A1:AQ123"/>
  <sheetViews>
    <sheetView showGridLines="0" zoomScaleNormal="100" workbookViewId="0">
      <selection activeCell="AG30" sqref="AG30:AL30"/>
    </sheetView>
  </sheetViews>
  <sheetFormatPr defaultColWidth="11.5703125" defaultRowHeight="12.75"/>
  <cols>
    <col min="1" max="1" width="4.5703125" style="237" customWidth="1"/>
    <col min="2" max="2" width="14" style="237" customWidth="1"/>
    <col min="3" max="3" width="7.7109375" style="236" customWidth="1"/>
    <col min="4" max="4" width="14.5703125" style="237" customWidth="1"/>
    <col min="5" max="5" width="14.5703125" style="238" customWidth="1"/>
    <col min="6" max="6" width="16.28515625" style="237" customWidth="1"/>
    <col min="7" max="7" width="7.42578125" style="237" customWidth="1"/>
    <col min="8" max="8" width="7.42578125" style="236" customWidth="1"/>
    <col min="9" max="9" width="11.28515625" style="237" customWidth="1"/>
    <col min="10" max="10" width="7.7109375" style="238" customWidth="1"/>
    <col min="11" max="11" width="3.28515625" style="237" customWidth="1"/>
    <col min="12" max="12" width="14" style="237" customWidth="1"/>
    <col min="13" max="13" width="7.7109375" style="237" customWidth="1"/>
    <col min="14" max="15" width="14.5703125" style="237" customWidth="1"/>
    <col min="16" max="16" width="16.28515625" style="237" customWidth="1"/>
    <col min="17" max="18" width="7.42578125" style="237" customWidth="1"/>
    <col min="19" max="19" width="11.28515625" style="237" customWidth="1"/>
    <col min="20" max="20" width="7.7109375" style="237" customWidth="1"/>
    <col min="21" max="21" width="3.28515625" style="237" customWidth="1"/>
    <col min="22" max="22" width="14" style="237" customWidth="1"/>
    <col min="23" max="23" width="7.7109375" style="237" customWidth="1"/>
    <col min="24" max="25" width="14.5703125" style="237" customWidth="1"/>
    <col min="26" max="26" width="16.28515625" style="237" customWidth="1"/>
    <col min="27" max="29" width="7.42578125" style="237" customWidth="1"/>
    <col min="30" max="30" width="11.28515625" style="237" customWidth="1"/>
    <col min="31" max="31" width="7.7109375" style="237" customWidth="1"/>
    <col min="32" max="32" width="3.28515625" style="237" customWidth="1"/>
    <col min="33" max="33" width="14" style="237" customWidth="1"/>
    <col min="34" max="34" width="7.7109375" style="237" customWidth="1"/>
    <col min="35" max="36" width="14.5703125" style="237" customWidth="1"/>
    <col min="37" max="37" width="16.28515625" style="237" customWidth="1"/>
    <col min="38" max="40" width="7.42578125" style="237" customWidth="1"/>
    <col min="41" max="41" width="11.28515625" style="237" customWidth="1"/>
    <col min="42" max="42" width="7.7109375" style="237" customWidth="1"/>
    <col min="43" max="16384" width="11.5703125" style="237"/>
  </cols>
  <sheetData>
    <row r="1" spans="1:43" s="117" customFormat="1" ht="26.85" customHeight="1">
      <c r="A1" s="345" t="s">
        <v>286</v>
      </c>
      <c r="B1" s="346" t="s">
        <v>287</v>
      </c>
      <c r="C1" s="346"/>
      <c r="D1" s="346"/>
      <c r="E1" s="346"/>
      <c r="F1" s="346" t="s">
        <v>288</v>
      </c>
      <c r="G1" s="344"/>
      <c r="H1" s="346"/>
      <c r="I1" s="346" t="s">
        <v>289</v>
      </c>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row>
    <row r="2" spans="1:43" ht="13.5" thickBot="1">
      <c r="A2" s="518"/>
      <c r="B2" s="518"/>
      <c r="C2" s="519"/>
      <c r="D2" s="518"/>
      <c r="E2" s="520"/>
      <c r="F2" s="518"/>
      <c r="G2" s="518"/>
      <c r="H2" s="519"/>
      <c r="I2" s="518"/>
      <c r="J2" s="520"/>
      <c r="K2" s="518"/>
      <c r="L2" s="518"/>
      <c r="M2" s="518"/>
      <c r="N2" s="518"/>
      <c r="O2" s="518"/>
      <c r="P2" s="518"/>
      <c r="Q2" s="518"/>
      <c r="R2" s="518"/>
      <c r="S2" s="518"/>
      <c r="T2" s="518"/>
      <c r="U2" s="518"/>
      <c r="V2" s="518"/>
      <c r="W2" s="518"/>
      <c r="X2" s="518"/>
      <c r="Y2" s="518"/>
      <c r="Z2" s="518"/>
      <c r="AA2" s="518"/>
      <c r="AB2" s="518"/>
      <c r="AC2" s="518"/>
      <c r="AD2" s="518"/>
      <c r="AE2" s="518"/>
      <c r="AF2" s="518"/>
      <c r="AG2" s="518"/>
      <c r="AH2" s="518"/>
      <c r="AI2" s="518"/>
      <c r="AJ2" s="518"/>
      <c r="AK2" s="518"/>
      <c r="AL2" s="518"/>
      <c r="AM2" s="518"/>
      <c r="AN2" s="518"/>
      <c r="AO2" s="518"/>
      <c r="AP2" s="518"/>
      <c r="AQ2" s="518"/>
    </row>
    <row r="3" spans="1:43" ht="26.85" customHeight="1" thickBot="1">
      <c r="A3" s="518"/>
      <c r="B3" s="1205" t="s">
        <v>290</v>
      </c>
      <c r="C3" s="1206"/>
      <c r="D3" s="1206"/>
      <c r="E3" s="1206"/>
      <c r="F3" s="1206"/>
      <c r="G3" s="1191" t="s">
        <v>291</v>
      </c>
      <c r="H3" s="1191"/>
      <c r="I3" s="1191"/>
      <c r="J3" s="1192"/>
      <c r="K3" s="521"/>
      <c r="L3" s="1185" t="s">
        <v>292</v>
      </c>
      <c r="M3" s="1185"/>
      <c r="N3" s="1185"/>
      <c r="O3" s="1185"/>
      <c r="P3" s="1185"/>
      <c r="Q3" s="1185"/>
      <c r="R3" s="1185"/>
      <c r="S3" s="1185"/>
      <c r="T3" s="518"/>
      <c r="U3" s="521"/>
      <c r="V3" s="518"/>
      <c r="W3" s="518"/>
      <c r="X3" s="518"/>
      <c r="Y3" s="518"/>
      <c r="Z3" s="518"/>
      <c r="AA3" s="518"/>
      <c r="AB3" s="518"/>
      <c r="AC3" s="518"/>
      <c r="AD3" s="518"/>
      <c r="AE3" s="518"/>
      <c r="AF3" s="521"/>
      <c r="AG3" s="518"/>
      <c r="AH3" s="518"/>
      <c r="AI3" s="518"/>
      <c r="AJ3" s="518"/>
      <c r="AK3" s="518"/>
      <c r="AL3" s="518"/>
      <c r="AM3" s="518"/>
      <c r="AN3" s="518"/>
      <c r="AO3" s="518"/>
      <c r="AP3" s="518"/>
      <c r="AQ3" s="518"/>
    </row>
    <row r="4" spans="1:43" ht="13.35" customHeight="1">
      <c r="A4" s="518"/>
      <c r="B4" s="522" t="s">
        <v>293</v>
      </c>
      <c r="C4" s="242"/>
      <c r="D4" s="1193" t="s">
        <v>294</v>
      </c>
      <c r="E4" s="1193"/>
      <c r="F4" s="1193"/>
      <c r="G4" s="1194"/>
      <c r="H4" s="1195"/>
      <c r="I4" s="1195"/>
      <c r="J4" s="1196"/>
      <c r="K4" s="521"/>
      <c r="L4" s="1185"/>
      <c r="M4" s="1185"/>
      <c r="N4" s="1185"/>
      <c r="O4" s="1185"/>
      <c r="P4" s="1185"/>
      <c r="Q4" s="1185"/>
      <c r="R4" s="1185"/>
      <c r="S4" s="1185"/>
      <c r="T4" s="518"/>
      <c r="U4" s="521"/>
      <c r="V4" s="518"/>
      <c r="W4" s="518"/>
      <c r="X4" s="518"/>
      <c r="Y4" s="518"/>
      <c r="Z4" s="518"/>
      <c r="AA4" s="518"/>
      <c r="AB4" s="518"/>
      <c r="AC4" s="518"/>
      <c r="AD4" s="518"/>
      <c r="AE4" s="518"/>
      <c r="AF4" s="521"/>
      <c r="AG4" s="518"/>
      <c r="AH4" s="518"/>
      <c r="AI4" s="518"/>
      <c r="AJ4" s="518"/>
      <c r="AK4" s="518"/>
      <c r="AL4" s="518"/>
      <c r="AM4" s="518"/>
      <c r="AN4" s="518"/>
      <c r="AO4" s="518"/>
      <c r="AP4" s="518"/>
      <c r="AQ4" s="518"/>
    </row>
    <row r="5" spans="1:43">
      <c r="A5" s="518"/>
      <c r="B5" s="523" t="s">
        <v>295</v>
      </c>
      <c r="C5" s="241"/>
      <c r="D5" s="1203" t="s">
        <v>296</v>
      </c>
      <c r="E5" s="1203"/>
      <c r="F5" s="1203"/>
      <c r="G5" s="1197"/>
      <c r="H5" s="1198"/>
      <c r="I5" s="1198"/>
      <c r="J5" s="1199"/>
      <c r="K5" s="521"/>
      <c r="L5" s="1185"/>
      <c r="M5" s="1185"/>
      <c r="N5" s="1185"/>
      <c r="O5" s="1185"/>
      <c r="P5" s="1185"/>
      <c r="Q5" s="1185"/>
      <c r="R5" s="1185"/>
      <c r="S5" s="1185"/>
      <c r="T5" s="518"/>
      <c r="U5" s="521"/>
      <c r="V5" s="518"/>
      <c r="W5" s="518"/>
      <c r="X5" s="518"/>
      <c r="Y5" s="518"/>
      <c r="Z5" s="518"/>
      <c r="AA5" s="518"/>
      <c r="AB5" s="518"/>
      <c r="AC5" s="518"/>
      <c r="AD5" s="518"/>
      <c r="AE5" s="518"/>
      <c r="AF5" s="521"/>
      <c r="AG5" s="518"/>
      <c r="AH5" s="518"/>
      <c r="AI5" s="518"/>
      <c r="AJ5" s="518"/>
      <c r="AK5" s="518"/>
      <c r="AL5" s="518"/>
      <c r="AM5" s="518"/>
      <c r="AN5" s="518"/>
      <c r="AO5" s="518"/>
      <c r="AP5" s="518"/>
      <c r="AQ5" s="518"/>
    </row>
    <row r="6" spans="1:43" ht="13.35" customHeight="1" thickBot="1">
      <c r="A6" s="518"/>
      <c r="B6" s="524" t="s">
        <v>297</v>
      </c>
      <c r="C6" s="243"/>
      <c r="D6" s="1204" t="s">
        <v>298</v>
      </c>
      <c r="E6" s="1204"/>
      <c r="F6" s="1204"/>
      <c r="G6" s="1200"/>
      <c r="H6" s="1201"/>
      <c r="I6" s="1201"/>
      <c r="J6" s="1202"/>
      <c r="K6" s="521"/>
      <c r="L6" s="1185"/>
      <c r="M6" s="1185"/>
      <c r="N6" s="1185"/>
      <c r="O6" s="1185"/>
      <c r="P6" s="1185"/>
      <c r="Q6" s="1185"/>
      <c r="R6" s="1185"/>
      <c r="S6" s="1185"/>
      <c r="T6" s="518"/>
      <c r="U6" s="521"/>
      <c r="V6" s="518"/>
      <c r="W6" s="518"/>
      <c r="X6" s="518"/>
      <c r="Y6" s="518"/>
      <c r="Z6" s="518"/>
      <c r="AA6" s="518"/>
      <c r="AB6" s="518"/>
      <c r="AC6" s="518"/>
      <c r="AD6" s="518"/>
      <c r="AE6" s="518"/>
      <c r="AF6" s="521"/>
      <c r="AG6" s="518"/>
      <c r="AH6" s="518"/>
      <c r="AI6" s="518"/>
      <c r="AJ6" s="518"/>
      <c r="AK6" s="518"/>
      <c r="AL6" s="518"/>
      <c r="AM6" s="518"/>
      <c r="AN6" s="518"/>
      <c r="AO6" s="518"/>
      <c r="AP6" s="518"/>
      <c r="AQ6" s="518"/>
    </row>
    <row r="7" spans="1:43" ht="13.5" thickBot="1">
      <c r="A7" s="518"/>
      <c r="B7" s="525"/>
      <c r="C7" s="519"/>
      <c r="D7" s="1270"/>
      <c r="E7" s="1270"/>
      <c r="F7" s="1270"/>
      <c r="G7" s="1271"/>
      <c r="H7" s="1271"/>
      <c r="I7" s="1271"/>
      <c r="J7" s="1271"/>
      <c r="K7" s="521"/>
      <c r="L7" s="521"/>
      <c r="M7" s="518"/>
      <c r="N7" s="518"/>
      <c r="O7" s="518"/>
      <c r="P7" s="518"/>
      <c r="Q7" s="518"/>
      <c r="R7" s="518"/>
      <c r="S7" s="518"/>
      <c r="T7" s="518"/>
      <c r="U7" s="521"/>
      <c r="V7" s="521"/>
      <c r="W7" s="518"/>
      <c r="X7" s="518"/>
      <c r="Y7" s="518"/>
      <c r="Z7" s="518"/>
      <c r="AA7" s="518"/>
      <c r="AB7" s="518"/>
      <c r="AC7" s="518"/>
      <c r="AD7" s="518"/>
      <c r="AE7" s="518"/>
      <c r="AF7" s="521"/>
      <c r="AG7" s="521"/>
      <c r="AH7" s="518"/>
      <c r="AI7" s="518"/>
      <c r="AJ7" s="518"/>
      <c r="AK7" s="518"/>
      <c r="AL7" s="518"/>
      <c r="AM7" s="518"/>
      <c r="AN7" s="518"/>
      <c r="AO7" s="518"/>
      <c r="AP7" s="518"/>
      <c r="AQ7" s="518"/>
    </row>
    <row r="8" spans="1:43" ht="26.85" customHeight="1" thickBot="1">
      <c r="A8" s="518"/>
      <c r="B8" s="1188" t="s">
        <v>299</v>
      </c>
      <c r="C8" s="1189"/>
      <c r="D8" s="1189"/>
      <c r="E8" s="1189"/>
      <c r="F8" s="1190"/>
      <c r="G8" s="1272" t="s">
        <v>291</v>
      </c>
      <c r="H8" s="1273"/>
      <c r="I8" s="1273"/>
      <c r="J8" s="1274"/>
      <c r="K8" s="521"/>
      <c r="L8" s="1185" t="s">
        <v>300</v>
      </c>
      <c r="M8" s="1185"/>
      <c r="N8" s="1185"/>
      <c r="O8" s="1185"/>
      <c r="P8" s="1185"/>
      <c r="Q8" s="1185"/>
      <c r="R8" s="1185"/>
      <c r="S8" s="1185"/>
      <c r="T8" s="518"/>
      <c r="U8" s="521"/>
      <c r="V8" s="521"/>
      <c r="W8" s="518"/>
      <c r="X8" s="518"/>
      <c r="Y8" s="518"/>
      <c r="Z8" s="518"/>
      <c r="AA8" s="518"/>
      <c r="AB8" s="518"/>
      <c r="AC8" s="518"/>
      <c r="AD8" s="518"/>
      <c r="AE8" s="518"/>
      <c r="AF8" s="521"/>
      <c r="AG8" s="521"/>
      <c r="AH8" s="518"/>
      <c r="AI8" s="518"/>
      <c r="AJ8" s="518"/>
      <c r="AK8" s="518"/>
      <c r="AL8" s="518"/>
      <c r="AM8" s="518"/>
      <c r="AN8" s="518"/>
      <c r="AO8" s="518"/>
      <c r="AP8" s="518"/>
      <c r="AQ8" s="518"/>
    </row>
    <row r="9" spans="1:43" ht="13.35" customHeight="1">
      <c r="A9" s="518"/>
      <c r="B9" s="526" t="s">
        <v>301</v>
      </c>
      <c r="C9" s="247"/>
      <c r="D9" s="1275" t="s">
        <v>302</v>
      </c>
      <c r="E9" s="1275"/>
      <c r="F9" s="1276"/>
      <c r="G9" s="1277"/>
      <c r="H9" s="1278"/>
      <c r="I9" s="1278"/>
      <c r="J9" s="1279"/>
      <c r="K9" s="521"/>
      <c r="L9" s="1185"/>
      <c r="M9" s="1185"/>
      <c r="N9" s="1185"/>
      <c r="O9" s="1185"/>
      <c r="P9" s="1185"/>
      <c r="Q9" s="1185"/>
      <c r="R9" s="1185"/>
      <c r="S9" s="1185"/>
      <c r="T9" s="518"/>
      <c r="U9" s="521"/>
      <c r="V9" s="521"/>
      <c r="W9" s="518"/>
      <c r="X9" s="518"/>
      <c r="Y9" s="518"/>
      <c r="Z9" s="518"/>
      <c r="AA9" s="518"/>
      <c r="AB9" s="518"/>
      <c r="AC9" s="518"/>
      <c r="AD9" s="518"/>
      <c r="AE9" s="518"/>
      <c r="AF9" s="521"/>
      <c r="AG9" s="521"/>
      <c r="AH9" s="518"/>
      <c r="AI9" s="518"/>
      <c r="AJ9" s="518"/>
      <c r="AK9" s="518"/>
      <c r="AL9" s="518"/>
      <c r="AM9" s="518"/>
      <c r="AN9" s="518"/>
      <c r="AO9" s="518"/>
      <c r="AP9" s="518"/>
      <c r="AQ9" s="518"/>
    </row>
    <row r="10" spans="1:43">
      <c r="A10" s="518"/>
      <c r="B10" s="523" t="s">
        <v>303</v>
      </c>
      <c r="C10" s="245"/>
      <c r="D10" s="1203" t="s">
        <v>304</v>
      </c>
      <c r="E10" s="1203"/>
      <c r="F10" s="1280"/>
      <c r="G10" s="1197"/>
      <c r="H10" s="1198"/>
      <c r="I10" s="1198"/>
      <c r="J10" s="1199"/>
      <c r="K10" s="521"/>
      <c r="L10" s="1185"/>
      <c r="M10" s="1185"/>
      <c r="N10" s="1185"/>
      <c r="O10" s="1185"/>
      <c r="P10" s="1185"/>
      <c r="Q10" s="1185"/>
      <c r="R10" s="1185"/>
      <c r="S10" s="1185"/>
      <c r="T10" s="518"/>
      <c r="U10" s="521"/>
      <c r="V10" s="521"/>
      <c r="W10" s="518"/>
      <c r="X10" s="518"/>
      <c r="Y10" s="518"/>
      <c r="Z10" s="518"/>
      <c r="AA10" s="518"/>
      <c r="AB10" s="518"/>
      <c r="AC10" s="518"/>
      <c r="AD10" s="518"/>
      <c r="AE10" s="518"/>
      <c r="AF10" s="521"/>
      <c r="AG10" s="521"/>
      <c r="AH10" s="518"/>
      <c r="AI10" s="518"/>
      <c r="AJ10" s="518"/>
      <c r="AK10" s="518"/>
      <c r="AL10" s="518"/>
      <c r="AM10" s="518"/>
      <c r="AN10" s="518"/>
      <c r="AO10" s="518"/>
      <c r="AP10" s="518"/>
      <c r="AQ10" s="518"/>
    </row>
    <row r="11" spans="1:43" ht="13.35" customHeight="1" thickBot="1">
      <c r="A11" s="518"/>
      <c r="B11" s="524" t="s">
        <v>305</v>
      </c>
      <c r="C11" s="246" t="e">
        <f>+VLOOKUP(F11,'Formula limites'!J29:M37,MATCH('A5'!E11,'Formula limites'!K28:M28,0)+1,0)</f>
        <v>#N/A</v>
      </c>
      <c r="D11" s="527" t="s">
        <v>306</v>
      </c>
      <c r="E11" s="244"/>
      <c r="F11" s="248"/>
      <c r="G11" s="1200"/>
      <c r="H11" s="1201"/>
      <c r="I11" s="1201"/>
      <c r="J11" s="1202"/>
      <c r="K11" s="521"/>
      <c r="L11" s="1185"/>
      <c r="M11" s="1185"/>
      <c r="N11" s="1185"/>
      <c r="O11" s="1185"/>
      <c r="P11" s="1185"/>
      <c r="Q11" s="1185"/>
      <c r="R11" s="1185"/>
      <c r="S11" s="1185"/>
      <c r="T11" s="518"/>
      <c r="U11" s="521"/>
      <c r="V11" s="521"/>
      <c r="W11" s="518"/>
      <c r="X11" s="518"/>
      <c r="Y11" s="518"/>
      <c r="Z11" s="518"/>
      <c r="AA11" s="518"/>
      <c r="AB11" s="518"/>
      <c r="AC11" s="518"/>
      <c r="AD11" s="518"/>
      <c r="AE11" s="518"/>
      <c r="AF11" s="521"/>
      <c r="AG11" s="521"/>
      <c r="AH11" s="518"/>
      <c r="AI11" s="518"/>
      <c r="AJ11" s="518"/>
      <c r="AK11" s="518"/>
      <c r="AL11" s="518"/>
      <c r="AM11" s="518"/>
      <c r="AN11" s="518"/>
      <c r="AO11" s="518"/>
      <c r="AP11" s="518"/>
      <c r="AQ11" s="518"/>
    </row>
    <row r="12" spans="1:43" ht="13.5" thickBot="1">
      <c r="A12" s="518"/>
      <c r="B12" s="525"/>
      <c r="C12" s="528"/>
      <c r="D12" s="1270"/>
      <c r="E12" s="1270"/>
      <c r="F12" s="1270"/>
      <c r="G12" s="1271"/>
      <c r="H12" s="1271"/>
      <c r="I12" s="1271"/>
      <c r="J12" s="1271"/>
      <c r="K12" s="521"/>
      <c r="L12" s="521"/>
      <c r="M12" s="521"/>
      <c r="N12" s="521"/>
      <c r="O12" s="521"/>
      <c r="P12" s="521"/>
      <c r="Q12" s="518"/>
      <c r="R12" s="518"/>
      <c r="S12" s="518"/>
      <c r="T12" s="518"/>
      <c r="U12" s="521"/>
      <c r="V12" s="521"/>
      <c r="W12" s="521"/>
      <c r="X12" s="521"/>
      <c r="Y12" s="521"/>
      <c r="Z12" s="521"/>
      <c r="AA12" s="521"/>
      <c r="AB12" s="518"/>
      <c r="AC12" s="518"/>
      <c r="AD12" s="518"/>
      <c r="AE12" s="518"/>
      <c r="AF12" s="521"/>
      <c r="AG12" s="521"/>
      <c r="AH12" s="521"/>
      <c r="AI12" s="521"/>
      <c r="AJ12" s="521"/>
      <c r="AK12" s="521"/>
      <c r="AL12" s="521"/>
      <c r="AM12" s="518"/>
      <c r="AN12" s="518"/>
      <c r="AO12" s="518"/>
      <c r="AP12" s="518"/>
      <c r="AQ12" s="518"/>
    </row>
    <row r="13" spans="1:43" ht="26.85" customHeight="1" thickBot="1">
      <c r="A13" s="518"/>
      <c r="B13" s="1188" t="s">
        <v>307</v>
      </c>
      <c r="C13" s="1189"/>
      <c r="D13" s="1189"/>
      <c r="E13" s="1189"/>
      <c r="F13" s="1207"/>
      <c r="G13" s="1272" t="s">
        <v>291</v>
      </c>
      <c r="H13" s="1273"/>
      <c r="I13" s="1273"/>
      <c r="J13" s="1274"/>
      <c r="K13" s="521"/>
      <c r="L13" s="1185" t="s">
        <v>308</v>
      </c>
      <c r="M13" s="1185"/>
      <c r="N13" s="1185"/>
      <c r="O13" s="1185"/>
      <c r="P13" s="1185"/>
      <c r="Q13" s="1185"/>
      <c r="R13" s="1185"/>
      <c r="S13" s="1185"/>
      <c r="T13" s="518"/>
      <c r="U13" s="521"/>
      <c r="V13" s="521"/>
      <c r="W13" s="518"/>
      <c r="X13" s="518"/>
      <c r="Y13" s="518"/>
      <c r="Z13" s="518"/>
      <c r="AA13" s="518"/>
      <c r="AB13" s="518"/>
      <c r="AC13" s="518"/>
      <c r="AD13" s="518"/>
      <c r="AE13" s="518"/>
      <c r="AF13" s="521"/>
      <c r="AG13" s="521"/>
      <c r="AH13" s="518"/>
      <c r="AI13" s="518"/>
      <c r="AJ13" s="518"/>
      <c r="AK13" s="518"/>
      <c r="AL13" s="518"/>
      <c r="AM13" s="518"/>
      <c r="AN13" s="518"/>
      <c r="AO13" s="518"/>
      <c r="AP13" s="518"/>
      <c r="AQ13" s="518"/>
    </row>
    <row r="14" spans="1:43">
      <c r="A14" s="518"/>
      <c r="B14" s="1290" t="s">
        <v>309</v>
      </c>
      <c r="C14" s="1291"/>
      <c r="D14" s="1245"/>
      <c r="E14" s="1245"/>
      <c r="F14" s="1292"/>
      <c r="G14" s="1293"/>
      <c r="H14" s="1294"/>
      <c r="I14" s="1294"/>
      <c r="J14" s="1295"/>
      <c r="K14" s="521"/>
      <c r="L14" s="1185"/>
      <c r="M14" s="1185"/>
      <c r="N14" s="1185"/>
      <c r="O14" s="1185"/>
      <c r="P14" s="1185"/>
      <c r="Q14" s="1185"/>
      <c r="R14" s="1185"/>
      <c r="S14" s="1185"/>
      <c r="T14" s="518"/>
      <c r="U14" s="521"/>
      <c r="V14" s="521"/>
      <c r="W14" s="521"/>
      <c r="X14" s="521"/>
      <c r="Y14" s="521"/>
      <c r="Z14" s="521"/>
      <c r="AA14" s="521"/>
      <c r="AB14" s="518"/>
      <c r="AC14" s="518"/>
      <c r="AD14" s="518"/>
      <c r="AE14" s="518"/>
      <c r="AF14" s="521"/>
      <c r="AG14" s="521"/>
      <c r="AH14" s="521"/>
      <c r="AI14" s="521"/>
      <c r="AJ14" s="521"/>
      <c r="AK14" s="521"/>
      <c r="AL14" s="521"/>
      <c r="AM14" s="518"/>
      <c r="AN14" s="518"/>
      <c r="AO14" s="518"/>
      <c r="AP14" s="518"/>
      <c r="AQ14" s="518"/>
    </row>
    <row r="15" spans="1:43" ht="13.5" thickBot="1">
      <c r="A15" s="518"/>
      <c r="B15" s="1299" t="s">
        <v>310</v>
      </c>
      <c r="C15" s="1300"/>
      <c r="D15" s="1301"/>
      <c r="E15" s="1301"/>
      <c r="F15" s="1302"/>
      <c r="G15" s="1296"/>
      <c r="H15" s="1297"/>
      <c r="I15" s="1297"/>
      <c r="J15" s="1298"/>
      <c r="K15" s="521"/>
      <c r="L15" s="1185"/>
      <c r="M15" s="1185"/>
      <c r="N15" s="1185"/>
      <c r="O15" s="1185"/>
      <c r="P15" s="1185"/>
      <c r="Q15" s="1185"/>
      <c r="R15" s="1185"/>
      <c r="S15" s="1185"/>
      <c r="T15" s="518"/>
      <c r="U15" s="521"/>
      <c r="V15" s="521"/>
      <c r="W15" s="521"/>
      <c r="X15" s="521"/>
      <c r="Y15" s="521"/>
      <c r="Z15" s="521"/>
      <c r="AA15" s="521"/>
      <c r="AB15" s="518"/>
      <c r="AC15" s="518"/>
      <c r="AD15" s="518"/>
      <c r="AE15" s="518"/>
      <c r="AF15" s="521"/>
      <c r="AG15" s="521"/>
      <c r="AH15" s="521"/>
      <c r="AI15" s="521"/>
      <c r="AJ15" s="521"/>
      <c r="AK15" s="521"/>
      <c r="AL15" s="521"/>
      <c r="AM15" s="518"/>
      <c r="AN15" s="518"/>
      <c r="AO15" s="518"/>
      <c r="AP15" s="518"/>
      <c r="AQ15" s="518"/>
    </row>
    <row r="16" spans="1:43" ht="14.1" customHeight="1">
      <c r="A16" s="518"/>
      <c r="B16" s="518"/>
      <c r="C16" s="519"/>
      <c r="D16" s="518"/>
      <c r="E16" s="520"/>
      <c r="F16" s="518"/>
      <c r="G16" s="518"/>
      <c r="H16" s="519"/>
      <c r="I16" s="518"/>
      <c r="J16" s="520"/>
      <c r="K16" s="529"/>
      <c r="L16" s="518"/>
      <c r="M16" s="518"/>
      <c r="N16" s="518"/>
      <c r="O16" s="518"/>
      <c r="P16" s="518"/>
      <c r="Q16" s="521"/>
      <c r="R16" s="518"/>
      <c r="S16" s="518"/>
      <c r="T16" s="518"/>
      <c r="U16" s="529"/>
      <c r="V16" s="521"/>
      <c r="W16" s="521"/>
      <c r="X16" s="521"/>
      <c r="Y16" s="521"/>
      <c r="Z16" s="521"/>
      <c r="AA16" s="521"/>
      <c r="AB16" s="521"/>
      <c r="AC16" s="518"/>
      <c r="AD16" s="518"/>
      <c r="AE16" s="518"/>
      <c r="AF16" s="529"/>
      <c r="AG16" s="521"/>
      <c r="AH16" s="521"/>
      <c r="AI16" s="521"/>
      <c r="AJ16" s="521"/>
      <c r="AK16" s="521"/>
      <c r="AL16" s="521"/>
      <c r="AM16" s="521"/>
      <c r="AN16" s="518"/>
      <c r="AO16" s="518"/>
      <c r="AP16" s="518"/>
      <c r="AQ16" s="518"/>
    </row>
    <row r="17" spans="1:43" ht="14.1" customHeight="1" thickBot="1">
      <c r="A17" s="518"/>
      <c r="B17" s="518"/>
      <c r="C17" s="519"/>
      <c r="D17" s="518"/>
      <c r="E17" s="520"/>
      <c r="F17" s="518"/>
      <c r="G17" s="518"/>
      <c r="H17" s="519"/>
      <c r="I17" s="518"/>
      <c r="J17" s="520"/>
      <c r="K17" s="529"/>
      <c r="L17" s="518"/>
      <c r="M17" s="518"/>
      <c r="N17" s="518"/>
      <c r="O17" s="518"/>
      <c r="P17" s="518"/>
      <c r="Q17" s="521"/>
      <c r="R17" s="518"/>
      <c r="S17" s="518"/>
      <c r="T17" s="518"/>
      <c r="U17" s="529"/>
      <c r="V17" s="521"/>
      <c r="W17" s="521"/>
      <c r="X17" s="521"/>
      <c r="Y17" s="521"/>
      <c r="Z17" s="521"/>
      <c r="AA17" s="521"/>
      <c r="AB17" s="521"/>
      <c r="AC17" s="518"/>
      <c r="AD17" s="518"/>
      <c r="AE17" s="518"/>
      <c r="AF17" s="529"/>
      <c r="AG17" s="521"/>
      <c r="AH17" s="521"/>
      <c r="AI17" s="521"/>
      <c r="AJ17" s="521"/>
      <c r="AK17" s="521"/>
      <c r="AL17" s="521"/>
      <c r="AM17" s="521"/>
      <c r="AN17" s="518"/>
      <c r="AO17" s="518"/>
      <c r="AP17" s="518"/>
      <c r="AQ17" s="518"/>
    </row>
    <row r="18" spans="1:43" ht="26.85" customHeight="1" thickBot="1">
      <c r="A18" s="518"/>
      <c r="B18" s="1205" t="s">
        <v>311</v>
      </c>
      <c r="C18" s="1206"/>
      <c r="D18" s="1206"/>
      <c r="E18" s="1206"/>
      <c r="F18" s="1303"/>
      <c r="G18" s="530"/>
      <c r="H18" s="530"/>
      <c r="I18" s="530"/>
      <c r="J18" s="531"/>
      <c r="K18" s="521"/>
      <c r="L18" s="1185" t="s">
        <v>312</v>
      </c>
      <c r="M18" s="1185"/>
      <c r="N18" s="1185"/>
      <c r="O18" s="1185"/>
      <c r="P18" s="1185"/>
      <c r="Q18" s="1185"/>
      <c r="R18" s="1185"/>
      <c r="S18" s="1185"/>
      <c r="T18" s="518"/>
      <c r="U18" s="521"/>
      <c r="V18" s="521"/>
      <c r="W18" s="518"/>
      <c r="X18" s="521"/>
      <c r="Y18" s="521"/>
      <c r="Z18" s="521"/>
      <c r="AA18" s="521"/>
      <c r="AB18" s="518"/>
      <c r="AC18" s="518"/>
      <c r="AD18" s="518"/>
      <c r="AE18" s="518"/>
      <c r="AF18" s="521"/>
      <c r="AG18" s="521"/>
      <c r="AH18" s="518"/>
      <c r="AI18" s="521"/>
      <c r="AJ18" s="521"/>
      <c r="AK18" s="521"/>
      <c r="AL18" s="521"/>
      <c r="AM18" s="518"/>
      <c r="AN18" s="518"/>
      <c r="AO18" s="518"/>
      <c r="AP18" s="518"/>
      <c r="AQ18" s="518"/>
    </row>
    <row r="19" spans="1:43" ht="20.65" customHeight="1" thickBot="1">
      <c r="A19" s="518"/>
      <c r="B19" s="1214" t="s">
        <v>313</v>
      </c>
      <c r="C19" s="1215"/>
      <c r="D19" s="1216"/>
      <c r="E19" s="1216"/>
      <c r="F19" s="1216"/>
      <c r="G19" s="1217" t="s">
        <v>314</v>
      </c>
      <c r="H19" s="1217"/>
      <c r="I19" s="1218" t="e" cm="1">
        <f t="array" ref="I19">+_xlfn.IFS(D19=B21,C29,D19=L21,M29,D19=V21,W29,D19=AG21,AH29,D19='Formula limites'!Y5,"N/A")</f>
        <v>#N/A</v>
      </c>
      <c r="J19" s="1219"/>
      <c r="K19" s="532"/>
      <c r="L19" s="1185"/>
      <c r="M19" s="1185"/>
      <c r="N19" s="1185"/>
      <c r="O19" s="1185"/>
      <c r="P19" s="1185"/>
      <c r="Q19" s="1185"/>
      <c r="R19" s="1185"/>
      <c r="S19" s="1185"/>
      <c r="T19" s="518"/>
      <c r="U19" s="532"/>
      <c r="V19" s="521"/>
      <c r="W19" s="518"/>
      <c r="X19" s="521"/>
      <c r="Y19" s="521"/>
      <c r="Z19" s="521"/>
      <c r="AA19" s="521"/>
      <c r="AB19" s="518"/>
      <c r="AC19" s="518"/>
      <c r="AD19" s="518"/>
      <c r="AE19" s="518"/>
      <c r="AF19" s="532"/>
      <c r="AG19" s="521"/>
      <c r="AH19" s="518"/>
      <c r="AI19" s="521"/>
      <c r="AJ19" s="521"/>
      <c r="AK19" s="521"/>
      <c r="AL19" s="521"/>
      <c r="AM19" s="518"/>
      <c r="AN19" s="518"/>
      <c r="AO19" s="518"/>
      <c r="AP19" s="518"/>
      <c r="AQ19" s="518"/>
    </row>
    <row r="20" spans="1:43" s="239" customFormat="1" ht="13.5" thickBot="1">
      <c r="A20" s="521"/>
      <c r="B20" s="521"/>
      <c r="C20" s="521"/>
      <c r="D20" s="521"/>
      <c r="E20" s="521"/>
      <c r="F20" s="521"/>
      <c r="G20" s="521"/>
      <c r="H20" s="521"/>
      <c r="I20" s="521"/>
      <c r="J20" s="521"/>
      <c r="K20" s="521"/>
      <c r="L20" s="521"/>
      <c r="M20" s="518"/>
      <c r="N20" s="521"/>
      <c r="O20" s="521"/>
      <c r="P20" s="521"/>
      <c r="Q20" s="521"/>
      <c r="R20" s="521"/>
      <c r="S20" s="521"/>
      <c r="T20" s="521"/>
      <c r="U20" s="521"/>
      <c r="V20" s="521"/>
      <c r="W20" s="518"/>
      <c r="X20" s="521"/>
      <c r="Y20" s="521"/>
      <c r="Z20" s="521"/>
      <c r="AA20" s="521"/>
      <c r="AB20" s="521"/>
      <c r="AC20" s="521"/>
      <c r="AD20" s="521"/>
      <c r="AE20" s="521"/>
      <c r="AF20" s="521"/>
      <c r="AG20" s="521"/>
      <c r="AH20" s="518"/>
      <c r="AI20" s="521"/>
      <c r="AJ20" s="521"/>
      <c r="AK20" s="521"/>
      <c r="AL20" s="521"/>
      <c r="AM20" s="521"/>
      <c r="AN20" s="521"/>
      <c r="AO20" s="521"/>
      <c r="AP20" s="521"/>
      <c r="AQ20" s="521"/>
    </row>
    <row r="21" spans="1:43" s="239" customFormat="1" ht="26.85" customHeight="1" thickBot="1">
      <c r="A21" s="521"/>
      <c r="B21" s="1208" t="s">
        <v>315</v>
      </c>
      <c r="C21" s="1209"/>
      <c r="D21" s="1209"/>
      <c r="E21" s="1209"/>
      <c r="F21" s="1210"/>
      <c r="G21" s="1211" t="str">
        <f>IF($D$19=B21,"Aplica","No Aplica")</f>
        <v>No Aplica</v>
      </c>
      <c r="H21" s="1212"/>
      <c r="I21" s="1212"/>
      <c r="J21" s="1213"/>
      <c r="K21" s="521"/>
      <c r="L21" s="1208" t="s">
        <v>316</v>
      </c>
      <c r="M21" s="1209"/>
      <c r="N21" s="1209"/>
      <c r="O21" s="1209"/>
      <c r="P21" s="1210"/>
      <c r="Q21" s="1211" t="str">
        <f>IF($D$19=L21,"Aplica","No Aplica")</f>
        <v>No Aplica</v>
      </c>
      <c r="R21" s="1212"/>
      <c r="S21" s="1212"/>
      <c r="T21" s="1213"/>
      <c r="U21" s="521"/>
      <c r="V21" s="1208" t="s">
        <v>317</v>
      </c>
      <c r="W21" s="1209"/>
      <c r="X21" s="1209"/>
      <c r="Y21" s="1209"/>
      <c r="Z21" s="1209"/>
      <c r="AA21" s="1210"/>
      <c r="AB21" s="1211" t="str">
        <f>IF($D$19=V21,"Aplica","No Aplica")</f>
        <v>No Aplica</v>
      </c>
      <c r="AC21" s="1212"/>
      <c r="AD21" s="1212"/>
      <c r="AE21" s="1213"/>
      <c r="AF21" s="521"/>
      <c r="AG21" s="1208" t="s">
        <v>318</v>
      </c>
      <c r="AH21" s="1209"/>
      <c r="AI21" s="1209"/>
      <c r="AJ21" s="1209"/>
      <c r="AK21" s="1209"/>
      <c r="AL21" s="1210"/>
      <c r="AM21" s="1211" t="str">
        <f>IF($D$19=AG21,"Aplica","No Aplica")</f>
        <v>No Aplica</v>
      </c>
      <c r="AN21" s="1212"/>
      <c r="AO21" s="1212"/>
      <c r="AP21" s="1213"/>
      <c r="AQ21" s="521"/>
    </row>
    <row r="22" spans="1:43" ht="13.5" thickBot="1">
      <c r="A22" s="518"/>
      <c r="B22" s="1220" t="s">
        <v>319</v>
      </c>
      <c r="C22" s="1221"/>
      <c r="D22" s="1220" t="s">
        <v>291</v>
      </c>
      <c r="E22" s="1222"/>
      <c r="F22" s="1223"/>
      <c r="G22" s="1220" t="s">
        <v>320</v>
      </c>
      <c r="H22" s="1222"/>
      <c r="I22" s="1222"/>
      <c r="J22" s="1223"/>
      <c r="K22" s="533"/>
      <c r="L22" s="1220" t="s">
        <v>319</v>
      </c>
      <c r="M22" s="1221"/>
      <c r="N22" s="1220" t="s">
        <v>291</v>
      </c>
      <c r="O22" s="1222"/>
      <c r="P22" s="1223"/>
      <c r="Q22" s="1220" t="s">
        <v>320</v>
      </c>
      <c r="R22" s="1222"/>
      <c r="S22" s="1222"/>
      <c r="T22" s="1223"/>
      <c r="U22" s="533"/>
      <c r="V22" s="1220" t="s">
        <v>319</v>
      </c>
      <c r="W22" s="1221"/>
      <c r="X22" s="1220" t="s">
        <v>291</v>
      </c>
      <c r="Y22" s="1222"/>
      <c r="Z22" s="1222"/>
      <c r="AA22" s="1223"/>
      <c r="AB22" s="1220" t="s">
        <v>320</v>
      </c>
      <c r="AC22" s="1222"/>
      <c r="AD22" s="1222"/>
      <c r="AE22" s="1223"/>
      <c r="AF22" s="533"/>
      <c r="AG22" s="1220" t="s">
        <v>319</v>
      </c>
      <c r="AH22" s="1221"/>
      <c r="AI22" s="1220" t="s">
        <v>291</v>
      </c>
      <c r="AJ22" s="1222"/>
      <c r="AK22" s="1222"/>
      <c r="AL22" s="1223"/>
      <c r="AM22" s="1220" t="s">
        <v>320</v>
      </c>
      <c r="AN22" s="1222"/>
      <c r="AO22" s="1222"/>
      <c r="AP22" s="1223"/>
      <c r="AQ22" s="518"/>
    </row>
    <row r="23" spans="1:43">
      <c r="A23" s="518"/>
      <c r="B23" s="1242" t="s">
        <v>321</v>
      </c>
      <c r="C23" s="1243"/>
      <c r="D23" s="1244"/>
      <c r="E23" s="1245"/>
      <c r="F23" s="1246"/>
      <c r="G23" s="1261"/>
      <c r="H23" s="1262"/>
      <c r="I23" s="1262"/>
      <c r="J23" s="1263"/>
      <c r="K23" s="533"/>
      <c r="L23" s="1242" t="s">
        <v>321</v>
      </c>
      <c r="M23" s="1243"/>
      <c r="N23" s="1244"/>
      <c r="O23" s="1245"/>
      <c r="P23" s="1246"/>
      <c r="Q23" s="1261"/>
      <c r="R23" s="1262"/>
      <c r="S23" s="1262"/>
      <c r="T23" s="1263"/>
      <c r="U23" s="533"/>
      <c r="V23" s="1242" t="s">
        <v>321</v>
      </c>
      <c r="W23" s="1243"/>
      <c r="X23" s="1244"/>
      <c r="Y23" s="1245"/>
      <c r="Z23" s="1245"/>
      <c r="AA23" s="1246"/>
      <c r="AB23" s="1224"/>
      <c r="AC23" s="1225"/>
      <c r="AD23" s="1225"/>
      <c r="AE23" s="1226"/>
      <c r="AF23" s="533"/>
      <c r="AG23" s="1242" t="s">
        <v>321</v>
      </c>
      <c r="AH23" s="1243"/>
      <c r="AI23" s="1244"/>
      <c r="AJ23" s="1245"/>
      <c r="AK23" s="1245"/>
      <c r="AL23" s="1246"/>
      <c r="AM23" s="1224"/>
      <c r="AN23" s="1225"/>
      <c r="AO23" s="1225"/>
      <c r="AP23" s="1226"/>
      <c r="AQ23" s="518"/>
    </row>
    <row r="24" spans="1:43" ht="13.35" customHeight="1">
      <c r="A24" s="518"/>
      <c r="B24" s="534" t="s">
        <v>322</v>
      </c>
      <c r="C24" s="249"/>
      <c r="D24" s="1233"/>
      <c r="E24" s="1198"/>
      <c r="F24" s="1199"/>
      <c r="G24" s="1227"/>
      <c r="H24" s="1228"/>
      <c r="I24" s="1228"/>
      <c r="J24" s="1229"/>
      <c r="K24" s="521"/>
      <c r="L24" s="534" t="s">
        <v>323</v>
      </c>
      <c r="M24" s="249"/>
      <c r="N24" s="1233"/>
      <c r="O24" s="1198"/>
      <c r="P24" s="1199"/>
      <c r="Q24" s="1227"/>
      <c r="R24" s="1228"/>
      <c r="S24" s="1228"/>
      <c r="T24" s="1229"/>
      <c r="U24" s="521"/>
      <c r="V24" s="534" t="s">
        <v>322</v>
      </c>
      <c r="W24" s="250"/>
      <c r="X24" s="1233"/>
      <c r="Y24" s="1198"/>
      <c r="Z24" s="1198"/>
      <c r="AA24" s="1199"/>
      <c r="AB24" s="1227"/>
      <c r="AC24" s="1228"/>
      <c r="AD24" s="1228"/>
      <c r="AE24" s="1229"/>
      <c r="AF24" s="521"/>
      <c r="AG24" s="534" t="s">
        <v>322</v>
      </c>
      <c r="AH24" s="250"/>
      <c r="AI24" s="1233"/>
      <c r="AJ24" s="1198"/>
      <c r="AK24" s="1198"/>
      <c r="AL24" s="1199"/>
      <c r="AM24" s="1227"/>
      <c r="AN24" s="1228"/>
      <c r="AO24" s="1228"/>
      <c r="AP24" s="1229"/>
      <c r="AQ24" s="518"/>
    </row>
    <row r="25" spans="1:43">
      <c r="A25" s="518"/>
      <c r="B25" s="534" t="s">
        <v>324</v>
      </c>
      <c r="C25" s="249"/>
      <c r="D25" s="1197"/>
      <c r="E25" s="1198"/>
      <c r="F25" s="1199"/>
      <c r="G25" s="1227"/>
      <c r="H25" s="1228"/>
      <c r="I25" s="1228"/>
      <c r="J25" s="1229"/>
      <c r="K25" s="521"/>
      <c r="L25" s="534" t="s">
        <v>325</v>
      </c>
      <c r="M25" s="249"/>
      <c r="N25" s="1197"/>
      <c r="O25" s="1198"/>
      <c r="P25" s="1199"/>
      <c r="Q25" s="1227"/>
      <c r="R25" s="1228"/>
      <c r="S25" s="1228"/>
      <c r="T25" s="1229"/>
      <c r="U25" s="521"/>
      <c r="V25" s="534" t="s">
        <v>324</v>
      </c>
      <c r="W25" s="250"/>
      <c r="X25" s="1197"/>
      <c r="Y25" s="1198"/>
      <c r="Z25" s="1198"/>
      <c r="AA25" s="1199"/>
      <c r="AB25" s="1227"/>
      <c r="AC25" s="1228"/>
      <c r="AD25" s="1228"/>
      <c r="AE25" s="1229"/>
      <c r="AF25" s="521"/>
      <c r="AG25" s="534" t="s">
        <v>324</v>
      </c>
      <c r="AH25" s="250"/>
      <c r="AI25" s="1197"/>
      <c r="AJ25" s="1198"/>
      <c r="AK25" s="1198"/>
      <c r="AL25" s="1199"/>
      <c r="AM25" s="1227"/>
      <c r="AN25" s="1228"/>
      <c r="AO25" s="1228"/>
      <c r="AP25" s="1229"/>
      <c r="AQ25" s="518"/>
    </row>
    <row r="26" spans="1:43" ht="13.35" customHeight="1">
      <c r="A26" s="518"/>
      <c r="B26" s="534" t="s">
        <v>326</v>
      </c>
      <c r="C26" s="249"/>
      <c r="D26" s="1197"/>
      <c r="E26" s="1198"/>
      <c r="F26" s="1199"/>
      <c r="G26" s="1227"/>
      <c r="H26" s="1228"/>
      <c r="I26" s="1228"/>
      <c r="J26" s="1229"/>
      <c r="K26" s="521"/>
      <c r="L26" s="534" t="s">
        <v>326</v>
      </c>
      <c r="M26" s="249"/>
      <c r="N26" s="1197"/>
      <c r="O26" s="1198"/>
      <c r="P26" s="1199"/>
      <c r="Q26" s="1227"/>
      <c r="R26" s="1228"/>
      <c r="S26" s="1228"/>
      <c r="T26" s="1229"/>
      <c r="U26" s="521"/>
      <c r="V26" s="534" t="s">
        <v>327</v>
      </c>
      <c r="W26" s="535" t="str">
        <f>IFERROR(W24/W25,"")</f>
        <v/>
      </c>
      <c r="X26" s="1197"/>
      <c r="Y26" s="1198"/>
      <c r="Z26" s="1198"/>
      <c r="AA26" s="1199"/>
      <c r="AB26" s="1227"/>
      <c r="AC26" s="1228"/>
      <c r="AD26" s="1228"/>
      <c r="AE26" s="1229"/>
      <c r="AF26" s="521"/>
      <c r="AG26" s="534" t="s">
        <v>327</v>
      </c>
      <c r="AH26" s="535" t="str">
        <f>IFERROR(AH24/AH25,"")</f>
        <v/>
      </c>
      <c r="AI26" s="1197"/>
      <c r="AJ26" s="1198"/>
      <c r="AK26" s="1198"/>
      <c r="AL26" s="1199"/>
      <c r="AM26" s="1227"/>
      <c r="AN26" s="1228"/>
      <c r="AO26" s="1228"/>
      <c r="AP26" s="1229"/>
      <c r="AQ26" s="518"/>
    </row>
    <row r="27" spans="1:43" ht="13.35" customHeight="1">
      <c r="A27" s="518"/>
      <c r="B27" s="534" t="s">
        <v>328</v>
      </c>
      <c r="C27" s="535" t="str">
        <f>IFERROR(ROUND(C25/C26,1),"")</f>
        <v/>
      </c>
      <c r="D27" s="1197"/>
      <c r="E27" s="1198"/>
      <c r="F27" s="1199"/>
      <c r="G27" s="1227"/>
      <c r="H27" s="1228"/>
      <c r="I27" s="1228"/>
      <c r="J27" s="1229"/>
      <c r="K27" s="521"/>
      <c r="L27" s="534" t="s">
        <v>329</v>
      </c>
      <c r="M27" s="535" t="str">
        <f>IFERROR(ROUND(M24/M25,1),"")</f>
        <v/>
      </c>
      <c r="N27" s="1197"/>
      <c r="O27" s="1198"/>
      <c r="P27" s="1199"/>
      <c r="Q27" s="1227"/>
      <c r="R27" s="1228"/>
      <c r="S27" s="1228"/>
      <c r="T27" s="1229"/>
      <c r="U27" s="521"/>
      <c r="V27" s="1234" t="s">
        <v>330</v>
      </c>
      <c r="W27" s="1235"/>
      <c r="X27" s="1197"/>
      <c r="Y27" s="1198"/>
      <c r="Z27" s="1198"/>
      <c r="AA27" s="1199"/>
      <c r="AB27" s="1227"/>
      <c r="AC27" s="1228"/>
      <c r="AD27" s="1228"/>
      <c r="AE27" s="1229"/>
      <c r="AF27" s="521"/>
      <c r="AG27" s="1234" t="s">
        <v>331</v>
      </c>
      <c r="AH27" s="1235"/>
      <c r="AI27" s="1197"/>
      <c r="AJ27" s="1198"/>
      <c r="AK27" s="1198"/>
      <c r="AL27" s="1199"/>
      <c r="AM27" s="1227"/>
      <c r="AN27" s="1228"/>
      <c r="AO27" s="1228"/>
      <c r="AP27" s="1229"/>
      <c r="AQ27" s="518"/>
    </row>
    <row r="28" spans="1:43" ht="13.35" customHeight="1">
      <c r="A28" s="518"/>
      <c r="B28" s="534" t="s">
        <v>332</v>
      </c>
      <c r="C28" s="535" t="str">
        <f>IFERROR(ROUND(C24/C26,1),"")</f>
        <v/>
      </c>
      <c r="D28" s="1197"/>
      <c r="E28" s="1198"/>
      <c r="F28" s="1199"/>
      <c r="G28" s="1227"/>
      <c r="H28" s="1228"/>
      <c r="I28" s="1228"/>
      <c r="J28" s="1229"/>
      <c r="K28" s="521"/>
      <c r="L28" s="534" t="s">
        <v>333</v>
      </c>
      <c r="M28" s="535" t="str">
        <f>IFERROR(ROUND(M24/M26,1),"")</f>
        <v/>
      </c>
      <c r="N28" s="1197"/>
      <c r="O28" s="1198"/>
      <c r="P28" s="1199"/>
      <c r="Q28" s="1227"/>
      <c r="R28" s="1228"/>
      <c r="S28" s="1228"/>
      <c r="T28" s="1229"/>
      <c r="U28" s="521"/>
      <c r="V28" s="1234"/>
      <c r="W28" s="1235"/>
      <c r="X28" s="1197"/>
      <c r="Y28" s="1198"/>
      <c r="Z28" s="1198"/>
      <c r="AA28" s="1199"/>
      <c r="AB28" s="1227"/>
      <c r="AC28" s="1228"/>
      <c r="AD28" s="1228"/>
      <c r="AE28" s="1229"/>
      <c r="AF28" s="521"/>
      <c r="AG28" s="1234"/>
      <c r="AH28" s="1235"/>
      <c r="AI28" s="1197"/>
      <c r="AJ28" s="1198"/>
      <c r="AK28" s="1198"/>
      <c r="AL28" s="1199"/>
      <c r="AM28" s="1227"/>
      <c r="AN28" s="1228"/>
      <c r="AO28" s="1228"/>
      <c r="AP28" s="1229"/>
      <c r="AQ28" s="518"/>
    </row>
    <row r="29" spans="1:43" ht="13.35" customHeight="1" thickBot="1">
      <c r="A29" s="518"/>
      <c r="B29" s="536" t="s">
        <v>334</v>
      </c>
      <c r="C29" s="738" t="str" cm="1">
        <f t="array" ref="C29">+IFERROR(VLOOKUP(_xlfn.CONCAT(D23,_xlfn.IFS(C28&lt;=0.2,1,C28&lt;=0.5,2,C28&gt;0.5,3)),'Formula limites'!AP4:AT18,_xlfn.IFS(C27&lt;=0.5,1,C27&lt;=1,2,C27&lt;=2,3,C27&gt;2,4)+1,0),"")</f>
        <v/>
      </c>
      <c r="D29" s="1281" t="s">
        <v>335</v>
      </c>
      <c r="E29" s="1282"/>
      <c r="F29" s="1283"/>
      <c r="G29" s="1227"/>
      <c r="H29" s="1228"/>
      <c r="I29" s="1228"/>
      <c r="J29" s="1229"/>
      <c r="K29" s="518"/>
      <c r="L29" s="537" t="s">
        <v>334</v>
      </c>
      <c r="M29" s="739" t="str" cm="1">
        <f t="array" ref="M29">+IFERROR(VLOOKUP(_xlfn.CONCAT(N23,_xlfn.IFS(M28&lt;=0.1,1,M28&lt;=0.2,2,M28&lt;=0.5,3,M28&gt;0.5,4)),'Formula limites'!AZ3:BD22,_xlfn.IFS(M27&lt;=0.1,1,M27&lt;=0.2,2,M27&lt;=0.5,3,M27&gt;0.5,4)+1,0),"")</f>
        <v/>
      </c>
      <c r="N29" s="1239" t="s">
        <v>335</v>
      </c>
      <c r="O29" s="1240"/>
      <c r="P29" s="1241"/>
      <c r="Q29" s="1227"/>
      <c r="R29" s="1228"/>
      <c r="S29" s="1228"/>
      <c r="T29" s="1229"/>
      <c r="U29" s="518"/>
      <c r="V29" s="537" t="s">
        <v>334</v>
      </c>
      <c r="W29" s="739" t="str" cm="1">
        <f t="array" ref="W29">+IFERROR(VLOOKUP(X23,'Formula limites'!BG4:BJ8,_xlfn.IFS(W27&lt;30,1,W27&lt;60,2,W27&gt;=60,3)+1,0),"")</f>
        <v/>
      </c>
      <c r="X29" s="1239" t="s">
        <v>335</v>
      </c>
      <c r="Y29" s="1240"/>
      <c r="Z29" s="1240"/>
      <c r="AA29" s="1241"/>
      <c r="AB29" s="1227"/>
      <c r="AC29" s="1228"/>
      <c r="AD29" s="1228"/>
      <c r="AE29" s="1229"/>
      <c r="AF29" s="518"/>
      <c r="AG29" s="537" t="s">
        <v>336</v>
      </c>
      <c r="AH29" s="739" t="str" cm="1">
        <f t="array" ref="AH29">+IFERROR(VLOOKUP(AI23,'Formula limites'!BM4:BT8,_xlfn.IFS(AH27&gt;=60,1,AH27&gt;=45,2,AH27&gt;=30,3,AH27&gt;=0,4,AH27&gt;=-30,5,AH27&gt;=-45,6,AH27&gt;=-60,7)+1,0),"")</f>
        <v/>
      </c>
      <c r="AI29" s="1239" t="s">
        <v>335</v>
      </c>
      <c r="AJ29" s="1240"/>
      <c r="AK29" s="1240"/>
      <c r="AL29" s="1241"/>
      <c r="AM29" s="1227"/>
      <c r="AN29" s="1228"/>
      <c r="AO29" s="1228"/>
      <c r="AP29" s="1229"/>
      <c r="AQ29" s="518"/>
    </row>
    <row r="30" spans="1:43" s="240" customFormat="1" ht="90.6" customHeight="1" thickBot="1">
      <c r="A30" s="538"/>
      <c r="B30" s="1264" t="s">
        <v>337</v>
      </c>
      <c r="C30" s="1265"/>
      <c r="D30" s="1266"/>
      <c r="E30" s="1266"/>
      <c r="F30" s="1267"/>
      <c r="G30" s="1230"/>
      <c r="H30" s="1231"/>
      <c r="I30" s="1231"/>
      <c r="J30" s="1232"/>
      <c r="K30" s="538"/>
      <c r="L30" s="1264" t="s">
        <v>338</v>
      </c>
      <c r="M30" s="1265"/>
      <c r="N30" s="1266"/>
      <c r="O30" s="1266"/>
      <c r="P30" s="1267"/>
      <c r="Q30" s="1230"/>
      <c r="R30" s="1231"/>
      <c r="S30" s="1231"/>
      <c r="T30" s="1232"/>
      <c r="U30" s="538"/>
      <c r="V30" s="1236" t="s">
        <v>339</v>
      </c>
      <c r="W30" s="1237"/>
      <c r="X30" s="1237"/>
      <c r="Y30" s="1237"/>
      <c r="Z30" s="1237"/>
      <c r="AA30" s="1238"/>
      <c r="AB30" s="1230"/>
      <c r="AC30" s="1231"/>
      <c r="AD30" s="1231"/>
      <c r="AE30" s="1232"/>
      <c r="AF30" s="538"/>
      <c r="AG30" s="1236" t="s">
        <v>340</v>
      </c>
      <c r="AH30" s="1237"/>
      <c r="AI30" s="1237"/>
      <c r="AJ30" s="1237"/>
      <c r="AK30" s="1237"/>
      <c r="AL30" s="1238"/>
      <c r="AM30" s="1230"/>
      <c r="AN30" s="1231"/>
      <c r="AO30" s="1231"/>
      <c r="AP30" s="1232"/>
      <c r="AQ30" s="538"/>
    </row>
    <row r="31" spans="1:43" s="239" customFormat="1" ht="13.35" customHeight="1">
      <c r="A31" s="521"/>
      <c r="B31" s="1563"/>
      <c r="C31" s="1563"/>
      <c r="D31" s="1563"/>
      <c r="E31" s="1563"/>
      <c r="F31" s="1563"/>
      <c r="G31" s="1563"/>
      <c r="H31" s="1563"/>
      <c r="I31" s="1563"/>
      <c r="J31" s="1563"/>
      <c r="K31" s="521"/>
      <c r="L31" s="521"/>
      <c r="M31" s="521"/>
      <c r="N31" s="521"/>
      <c r="O31" s="521"/>
      <c r="P31" s="521"/>
      <c r="Q31" s="521"/>
      <c r="R31" s="521"/>
      <c r="S31" s="521"/>
      <c r="T31" s="521"/>
      <c r="U31" s="521"/>
      <c r="V31" s="521"/>
      <c r="W31" s="521"/>
      <c r="X31" s="521"/>
      <c r="Y31" s="521"/>
      <c r="Z31" s="521"/>
      <c r="AA31" s="521"/>
      <c r="AB31" s="521"/>
      <c r="AC31" s="521"/>
      <c r="AD31" s="521"/>
      <c r="AE31" s="521"/>
      <c r="AF31" s="521">
        <v>1</v>
      </c>
      <c r="AG31" s="521"/>
      <c r="AH31" s="521"/>
      <c r="AI31" s="521"/>
      <c r="AJ31" s="521"/>
      <c r="AK31" s="521"/>
      <c r="AL31" s="521"/>
      <c r="AM31" s="521"/>
      <c r="AN31" s="521"/>
      <c r="AO31" s="521"/>
      <c r="AP31" s="521"/>
      <c r="AQ31" s="521"/>
    </row>
    <row r="32" spans="1:43" s="239" customFormat="1" ht="13.35" customHeight="1" thickBot="1">
      <c r="A32" s="521"/>
      <c r="B32" s="521"/>
      <c r="C32" s="521"/>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1"/>
      <c r="AP32" s="521"/>
      <c r="AQ32" s="521"/>
    </row>
    <row r="33" spans="1:43" ht="26.85" customHeight="1">
      <c r="A33" s="518"/>
      <c r="B33" s="1284" t="s">
        <v>341</v>
      </c>
      <c r="C33" s="1285"/>
      <c r="D33" s="1285"/>
      <c r="E33" s="1285"/>
      <c r="F33" s="1286"/>
      <c r="G33" s="1287"/>
      <c r="H33" s="1288"/>
      <c r="I33" s="1288"/>
      <c r="J33" s="1288"/>
      <c r="K33" s="1288"/>
      <c r="L33" s="1288"/>
      <c r="M33" s="1288"/>
      <c r="N33" s="1288"/>
      <c r="O33" s="1288"/>
      <c r="P33" s="1288"/>
      <c r="Q33" s="1288"/>
      <c r="R33" s="1288"/>
      <c r="S33" s="1288"/>
      <c r="T33" s="1289"/>
      <c r="U33" s="521"/>
      <c r="V33" s="521"/>
      <c r="W33" s="521"/>
      <c r="X33" s="521"/>
      <c r="Y33" s="521"/>
      <c r="Z33" s="521"/>
      <c r="AA33" s="521"/>
      <c r="AB33" s="518"/>
      <c r="AC33" s="518"/>
      <c r="AD33" s="518"/>
      <c r="AE33" s="518"/>
      <c r="AF33" s="521"/>
      <c r="AG33" s="521"/>
      <c r="AH33" s="521"/>
      <c r="AI33" s="521"/>
      <c r="AJ33" s="521"/>
      <c r="AK33" s="521"/>
      <c r="AL33" s="521"/>
      <c r="AM33" s="518"/>
      <c r="AN33" s="518"/>
      <c r="AO33" s="518"/>
      <c r="AP33" s="518"/>
      <c r="AQ33" s="518"/>
    </row>
    <row r="34" spans="1:43" ht="14.1" customHeight="1">
      <c r="A34" s="518"/>
      <c r="B34" s="1251" t="s">
        <v>342</v>
      </c>
      <c r="C34" s="1252"/>
      <c r="D34" s="1252"/>
      <c r="E34" s="1260"/>
      <c r="F34" s="1260"/>
      <c r="G34" s="1248" t="s">
        <v>343</v>
      </c>
      <c r="H34" s="1249"/>
      <c r="I34" s="1249"/>
      <c r="J34" s="1249"/>
      <c r="K34" s="1249"/>
      <c r="L34" s="1249"/>
      <c r="M34" s="1249"/>
      <c r="N34" s="1249"/>
      <c r="O34" s="1249"/>
      <c r="P34" s="1249"/>
      <c r="Q34" s="1249"/>
      <c r="R34" s="1249"/>
      <c r="S34" s="1249"/>
      <c r="T34" s="1250"/>
      <c r="U34" s="521"/>
      <c r="V34" s="521"/>
      <c r="W34" s="521"/>
      <c r="X34" s="521"/>
      <c r="Y34" s="521"/>
      <c r="Z34" s="521"/>
      <c r="AA34" s="521"/>
      <c r="AB34" s="521"/>
      <c r="AC34" s="518"/>
      <c r="AD34" s="518"/>
      <c r="AE34" s="518"/>
      <c r="AF34" s="521"/>
      <c r="AG34" s="521"/>
      <c r="AH34" s="521"/>
      <c r="AI34" s="521"/>
      <c r="AJ34" s="521"/>
      <c r="AK34" s="521"/>
      <c r="AL34" s="521"/>
      <c r="AM34" s="521"/>
      <c r="AN34" s="518"/>
      <c r="AO34" s="518"/>
      <c r="AP34" s="518"/>
      <c r="AQ34" s="518"/>
    </row>
    <row r="35" spans="1:43">
      <c r="A35" s="518"/>
      <c r="B35" s="1251" t="s">
        <v>344</v>
      </c>
      <c r="C35" s="1252"/>
      <c r="D35" s="1252"/>
      <c r="E35" s="1260"/>
      <c r="F35" s="1260"/>
      <c r="G35" s="1249"/>
      <c r="H35" s="1249"/>
      <c r="I35" s="1249"/>
      <c r="J35" s="1249"/>
      <c r="K35" s="1249"/>
      <c r="L35" s="1249"/>
      <c r="M35" s="1249"/>
      <c r="N35" s="1249"/>
      <c r="O35" s="1249"/>
      <c r="P35" s="1249"/>
      <c r="Q35" s="1249"/>
      <c r="R35" s="1249"/>
      <c r="S35" s="1249"/>
      <c r="T35" s="1250"/>
      <c r="U35" s="521"/>
      <c r="V35" s="521"/>
      <c r="W35" s="521"/>
      <c r="X35" s="521"/>
      <c r="Y35" s="521"/>
      <c r="Z35" s="521"/>
      <c r="AA35" s="521"/>
      <c r="AB35" s="521"/>
      <c r="AC35" s="518"/>
      <c r="AD35" s="518"/>
      <c r="AE35" s="518"/>
      <c r="AF35" s="521"/>
      <c r="AG35" s="521"/>
      <c r="AH35" s="521"/>
      <c r="AI35" s="521"/>
      <c r="AJ35" s="521"/>
      <c r="AK35" s="521"/>
      <c r="AL35" s="521"/>
      <c r="AM35" s="521"/>
      <c r="AN35" s="518"/>
      <c r="AO35" s="518"/>
      <c r="AP35" s="518"/>
      <c r="AQ35" s="518"/>
    </row>
    <row r="36" spans="1:43">
      <c r="A36" s="518"/>
      <c r="B36" s="1251" t="s">
        <v>345</v>
      </c>
      <c r="C36" s="1252"/>
      <c r="D36" s="1252"/>
      <c r="E36" s="1259" cm="1">
        <f t="array" ref="E36">+IF(E34='Formula limites'!P22,_xlfn.IFS('A5'!E35&lt;='Formula limites'!Q22,'Formula limites'!T22,'A5'!E35&gt;='Formula limites'!R22,'Formula limites'!U22,'A5'!E35&lt;'Formula limites'!R22,'Formula limites'!T22+'Formula limites'!S22*('A5'!E35-'Formula limites'!T22)),_xlfn.IFS('A5'!E35&lt;='Formula limites'!Q23,'Formula limites'!V22,'A5'!E35&gt;='Formula limites'!R23,'Formula limites'!U23,'A5'!E35&lt;'Formula limites'!R23,'Formula limites'!V22+'Formula limites'!S23*('A5'!E35-'Formula limites'!T23)))</f>
        <v>0.3</v>
      </c>
      <c r="F36" s="1259"/>
      <c r="G36" s="1249"/>
      <c r="H36" s="1249"/>
      <c r="I36" s="1249"/>
      <c r="J36" s="1249"/>
      <c r="K36" s="1249"/>
      <c r="L36" s="1249"/>
      <c r="M36" s="1249"/>
      <c r="N36" s="1249"/>
      <c r="O36" s="1249"/>
      <c r="P36" s="1249"/>
      <c r="Q36" s="1249"/>
      <c r="R36" s="1249"/>
      <c r="S36" s="1249"/>
      <c r="T36" s="1250"/>
      <c r="U36" s="521"/>
      <c r="V36" s="521"/>
      <c r="W36" s="521"/>
      <c r="X36" s="521"/>
      <c r="Y36" s="521"/>
      <c r="Z36" s="521"/>
      <c r="AA36" s="521"/>
      <c r="AB36" s="521"/>
      <c r="AC36" s="518"/>
      <c r="AD36" s="518"/>
      <c r="AE36" s="518"/>
      <c r="AF36" s="521"/>
      <c r="AG36" s="521"/>
      <c r="AH36" s="521"/>
      <c r="AI36" s="521"/>
      <c r="AJ36" s="521"/>
      <c r="AK36" s="521"/>
      <c r="AL36" s="521"/>
      <c r="AM36" s="521"/>
      <c r="AN36" s="518"/>
      <c r="AO36" s="518"/>
      <c r="AP36" s="518"/>
      <c r="AQ36" s="518"/>
    </row>
    <row r="37" spans="1:43" ht="14.1" customHeight="1">
      <c r="A37" s="518"/>
      <c r="B37" s="1251" t="s">
        <v>346</v>
      </c>
      <c r="C37" s="1252"/>
      <c r="D37" s="1252"/>
      <c r="E37" s="1260"/>
      <c r="F37" s="1260"/>
      <c r="G37" s="1249"/>
      <c r="H37" s="1249"/>
      <c r="I37" s="1249"/>
      <c r="J37" s="1249"/>
      <c r="K37" s="1249"/>
      <c r="L37" s="1249"/>
      <c r="M37" s="1249"/>
      <c r="N37" s="1249"/>
      <c r="O37" s="1249"/>
      <c r="P37" s="1249"/>
      <c r="Q37" s="1249"/>
      <c r="R37" s="1249"/>
      <c r="S37" s="1249"/>
      <c r="T37" s="1250"/>
      <c r="U37" s="521"/>
      <c r="V37" s="521"/>
      <c r="W37" s="521"/>
      <c r="X37" s="521"/>
      <c r="Y37" s="521"/>
      <c r="Z37" s="521"/>
      <c r="AA37" s="521"/>
      <c r="AB37" s="521"/>
      <c r="AC37" s="518"/>
      <c r="AD37" s="518"/>
      <c r="AE37" s="518"/>
      <c r="AF37" s="521"/>
      <c r="AG37" s="521"/>
      <c r="AH37" s="521"/>
      <c r="AI37" s="521"/>
      <c r="AJ37" s="521"/>
      <c r="AK37" s="521"/>
      <c r="AL37" s="521"/>
      <c r="AM37" s="521"/>
      <c r="AN37" s="518"/>
      <c r="AO37" s="518"/>
      <c r="AP37" s="518"/>
      <c r="AQ37" s="518"/>
    </row>
    <row r="38" spans="1:43" ht="14.1" customHeight="1">
      <c r="A38" s="518"/>
      <c r="B38" s="1251" t="s">
        <v>334</v>
      </c>
      <c r="C38" s="1252"/>
      <c r="D38" s="1252"/>
      <c r="E38" s="1259">
        <f>C5</f>
        <v>0</v>
      </c>
      <c r="F38" s="1259"/>
      <c r="G38" s="1254" t="str">
        <f>IF(E38&lt;=$E$36,"Cumple","No cumple")</f>
        <v>Cumple</v>
      </c>
      <c r="H38" s="1254"/>
      <c r="I38" s="1254"/>
      <c r="J38" s="1254"/>
      <c r="K38" s="1268" t="s">
        <v>347</v>
      </c>
      <c r="L38" s="1268"/>
      <c r="M38" s="1268"/>
      <c r="N38" s="1268"/>
      <c r="O38" s="1268"/>
      <c r="P38" s="1268"/>
      <c r="Q38" s="1268"/>
      <c r="R38" s="1268"/>
      <c r="S38" s="1268"/>
      <c r="T38" s="1269"/>
      <c r="U38" s="521"/>
      <c r="V38" s="521"/>
      <c r="W38" s="521"/>
      <c r="X38" s="521"/>
      <c r="Y38" s="521"/>
      <c r="Z38" s="521"/>
      <c r="AA38" s="521"/>
      <c r="AB38" s="521"/>
      <c r="AC38" s="518"/>
      <c r="AD38" s="518"/>
      <c r="AE38" s="518"/>
      <c r="AF38" s="521"/>
      <c r="AG38" s="521"/>
      <c r="AH38" s="521"/>
      <c r="AI38" s="521"/>
      <c r="AJ38" s="521"/>
      <c r="AK38" s="521"/>
      <c r="AL38" s="521"/>
      <c r="AM38" s="521"/>
      <c r="AN38" s="518"/>
      <c r="AO38" s="518"/>
      <c r="AP38" s="518"/>
      <c r="AQ38" s="518"/>
    </row>
    <row r="39" spans="1:43" ht="14.1" customHeight="1">
      <c r="A39" s="518"/>
      <c r="B39" s="1251" t="s">
        <v>348</v>
      </c>
      <c r="C39" s="1252"/>
      <c r="D39" s="1252"/>
      <c r="E39" s="1253">
        <f>+IF(E37='Formula limites'!AW33,'Formula limites'!AX36,IF(E37='Formula limites'!AW38,'Formula limites'!AX42,C5))</f>
        <v>0</v>
      </c>
      <c r="F39" s="1253"/>
      <c r="G39" s="1254" t="str">
        <f t="shared" ref="G39:G40" si="0">IF(E39&lt;=$E$36,"Cumple","No cumple")</f>
        <v>Cumple</v>
      </c>
      <c r="H39" s="1254"/>
      <c r="I39" s="1254"/>
      <c r="J39" s="1254"/>
      <c r="K39" s="1268" t="s">
        <v>349</v>
      </c>
      <c r="L39" s="1268"/>
      <c r="M39" s="1268"/>
      <c r="N39" s="1268"/>
      <c r="O39" s="1268"/>
      <c r="P39" s="1268"/>
      <c r="Q39" s="1268"/>
      <c r="R39" s="1268"/>
      <c r="S39" s="1268"/>
      <c r="T39" s="1269"/>
      <c r="U39" s="521"/>
      <c r="V39" s="521"/>
      <c r="W39" s="521"/>
      <c r="X39" s="521"/>
      <c r="Y39" s="521"/>
      <c r="Z39" s="521"/>
      <c r="AA39" s="521"/>
      <c r="AB39" s="521"/>
      <c r="AC39" s="518"/>
      <c r="AD39" s="518"/>
      <c r="AE39" s="518"/>
      <c r="AF39" s="521"/>
      <c r="AG39" s="521"/>
      <c r="AH39" s="521"/>
      <c r="AI39" s="521"/>
      <c r="AJ39" s="521"/>
      <c r="AK39" s="521"/>
      <c r="AL39" s="521"/>
      <c r="AM39" s="521"/>
      <c r="AN39" s="518"/>
      <c r="AO39" s="518"/>
      <c r="AP39" s="518"/>
      <c r="AQ39" s="518"/>
    </row>
    <row r="40" spans="1:43" ht="48" customHeight="1" thickBot="1">
      <c r="A40" s="518"/>
      <c r="B40" s="1255" t="s">
        <v>350</v>
      </c>
      <c r="C40" s="1256"/>
      <c r="D40" s="1256"/>
      <c r="E40" s="1257" t="str">
        <f>IFERROR(IF(D19='Formula limites'!Y5,'A5'!E39,I19*((1-C9)*E39+C9*0.04*C10*C11)),"Completar información de celdas C4 a C10,E11,F11,D14,D15,D19, D23,C24 a C26,E34, E35, E37.")</f>
        <v>Completar información de celdas C4 a C10,E11,F11,D14,D15,D19, D23,C24 a C26,E34, E35, E37.</v>
      </c>
      <c r="F40" s="1257"/>
      <c r="G40" s="1258" t="str">
        <f t="shared" si="0"/>
        <v>No cumple</v>
      </c>
      <c r="H40" s="1258"/>
      <c r="I40" s="1258"/>
      <c r="J40" s="1258"/>
      <c r="K40" s="1204" t="s">
        <v>351</v>
      </c>
      <c r="L40" s="1204"/>
      <c r="M40" s="1204"/>
      <c r="N40" s="1204"/>
      <c r="O40" s="1204"/>
      <c r="P40" s="1204"/>
      <c r="Q40" s="1204"/>
      <c r="R40" s="1204"/>
      <c r="S40" s="1204"/>
      <c r="T40" s="1247"/>
      <c r="U40" s="521"/>
      <c r="V40" s="521"/>
      <c r="W40" s="521"/>
      <c r="X40" s="521"/>
      <c r="Y40" s="521"/>
      <c r="Z40" s="521"/>
      <c r="AA40" s="521"/>
      <c r="AB40" s="521"/>
      <c r="AC40" s="518"/>
      <c r="AD40" s="518"/>
      <c r="AE40" s="518"/>
      <c r="AF40" s="521"/>
      <c r="AG40" s="521"/>
      <c r="AH40" s="521"/>
      <c r="AI40" s="521"/>
      <c r="AJ40" s="521"/>
      <c r="AK40" s="521"/>
      <c r="AL40" s="521"/>
      <c r="AM40" s="521"/>
      <c r="AN40" s="518"/>
      <c r="AO40" s="518"/>
      <c r="AP40" s="518"/>
      <c r="AQ40" s="518"/>
    </row>
    <row r="41" spans="1:43">
      <c r="A41" s="518"/>
      <c r="B41" s="525"/>
      <c r="C41" s="519"/>
      <c r="D41" s="518"/>
      <c r="E41" s="520"/>
      <c r="F41" s="518"/>
      <c r="G41" s="521"/>
      <c r="H41" s="521"/>
      <c r="I41" s="521"/>
      <c r="J41" s="521"/>
      <c r="K41" s="521"/>
      <c r="L41" s="521"/>
      <c r="M41" s="521"/>
      <c r="N41" s="521"/>
      <c r="O41" s="521"/>
      <c r="P41" s="521"/>
      <c r="Q41" s="521"/>
      <c r="R41" s="518"/>
      <c r="S41" s="518"/>
      <c r="T41" s="518"/>
      <c r="U41" s="521"/>
      <c r="V41" s="521"/>
      <c r="W41" s="521"/>
      <c r="X41" s="521"/>
      <c r="Y41" s="521"/>
      <c r="Z41" s="521"/>
      <c r="AA41" s="521"/>
      <c r="AB41" s="521"/>
      <c r="AC41" s="518"/>
      <c r="AD41" s="518"/>
      <c r="AE41" s="518"/>
      <c r="AF41" s="521"/>
      <c r="AG41" s="521"/>
      <c r="AH41" s="521"/>
      <c r="AI41" s="521"/>
      <c r="AJ41" s="521"/>
      <c r="AK41" s="521"/>
      <c r="AL41" s="521"/>
      <c r="AM41" s="521"/>
      <c r="AN41" s="518"/>
      <c r="AO41" s="518"/>
      <c r="AP41" s="518"/>
      <c r="AQ41" s="518"/>
    </row>
    <row r="42" spans="1:43">
      <c r="A42" s="518"/>
      <c r="B42" s="525"/>
      <c r="C42" s="519"/>
      <c r="D42" s="518"/>
      <c r="E42" s="520"/>
      <c r="F42" s="518"/>
      <c r="G42" s="521"/>
      <c r="H42" s="521"/>
      <c r="I42" s="521"/>
      <c r="J42" s="521"/>
      <c r="K42" s="521"/>
      <c r="L42" s="521"/>
      <c r="M42" s="521"/>
      <c r="N42" s="521"/>
      <c r="O42" s="521"/>
      <c r="P42" s="521"/>
      <c r="Q42" s="521"/>
      <c r="R42" s="518"/>
      <c r="S42" s="518"/>
      <c r="T42" s="518"/>
      <c r="U42" s="521"/>
      <c r="V42" s="521"/>
      <c r="W42" s="521"/>
      <c r="X42" s="521"/>
      <c r="Y42" s="521"/>
      <c r="Z42" s="521"/>
      <c r="AA42" s="521"/>
      <c r="AB42" s="521"/>
      <c r="AC42" s="518"/>
      <c r="AD42" s="518"/>
      <c r="AE42" s="518"/>
      <c r="AF42" s="521"/>
      <c r="AG42" s="521"/>
      <c r="AH42" s="521"/>
      <c r="AI42" s="521"/>
      <c r="AJ42" s="521"/>
      <c r="AK42" s="521"/>
      <c r="AL42" s="521"/>
      <c r="AM42" s="521"/>
      <c r="AN42" s="518"/>
      <c r="AO42" s="518"/>
      <c r="AP42" s="518"/>
      <c r="AQ42" s="518"/>
    </row>
    <row r="43" spans="1:43">
      <c r="A43" s="518"/>
      <c r="B43" s="525"/>
      <c r="C43" s="519"/>
      <c r="D43" s="518"/>
      <c r="E43" s="520"/>
      <c r="F43" s="518"/>
      <c r="G43" s="521"/>
      <c r="H43" s="521"/>
      <c r="I43" s="521"/>
      <c r="J43" s="521"/>
      <c r="K43" s="521"/>
      <c r="L43" s="521"/>
      <c r="M43" s="521"/>
      <c r="N43" s="521"/>
      <c r="O43" s="521"/>
      <c r="P43" s="521"/>
      <c r="Q43" s="521"/>
      <c r="R43" s="518"/>
      <c r="S43" s="518"/>
      <c r="T43" s="518"/>
      <c r="U43" s="521"/>
      <c r="V43" s="521"/>
      <c r="W43" s="521"/>
      <c r="X43" s="521"/>
      <c r="Y43" s="521"/>
      <c r="Z43" s="521"/>
      <c r="AA43" s="521"/>
      <c r="AB43" s="521"/>
      <c r="AC43" s="518"/>
      <c r="AD43" s="518"/>
      <c r="AE43" s="518"/>
      <c r="AF43" s="521"/>
      <c r="AG43" s="521"/>
      <c r="AH43" s="521"/>
      <c r="AI43" s="521"/>
      <c r="AJ43" s="521"/>
      <c r="AK43" s="521"/>
      <c r="AL43" s="521"/>
      <c r="AM43" s="521"/>
      <c r="AN43" s="518"/>
      <c r="AO43" s="518"/>
      <c r="AP43" s="518"/>
      <c r="AQ43" s="518"/>
    </row>
    <row r="44" spans="1:43">
      <c r="A44" s="518"/>
      <c r="B44" s="525"/>
      <c r="C44" s="519"/>
      <c r="D44" s="518"/>
      <c r="E44" s="520"/>
      <c r="F44" s="518"/>
      <c r="G44" s="521"/>
      <c r="H44" s="521"/>
      <c r="I44" s="521"/>
      <c r="J44" s="521"/>
      <c r="K44" s="521"/>
      <c r="L44" s="521"/>
      <c r="M44" s="521"/>
      <c r="N44" s="521"/>
      <c r="O44" s="521"/>
      <c r="P44" s="521"/>
      <c r="Q44" s="521"/>
      <c r="R44" s="518"/>
      <c r="S44" s="518"/>
      <c r="T44" s="518"/>
      <c r="U44" s="521"/>
      <c r="V44" s="521"/>
      <c r="W44" s="521"/>
      <c r="X44" s="521"/>
      <c r="Y44" s="521"/>
      <c r="Z44" s="521"/>
      <c r="AA44" s="521"/>
      <c r="AB44" s="521"/>
      <c r="AC44" s="518"/>
      <c r="AD44" s="518"/>
      <c r="AE44" s="518"/>
      <c r="AF44" s="521"/>
      <c r="AG44" s="521"/>
      <c r="AH44" s="521"/>
      <c r="AI44" s="521"/>
      <c r="AJ44" s="521"/>
      <c r="AK44" s="521"/>
      <c r="AL44" s="521"/>
      <c r="AM44" s="521"/>
      <c r="AN44" s="518"/>
      <c r="AO44" s="518"/>
      <c r="AP44" s="518"/>
      <c r="AQ44" s="518"/>
    </row>
    <row r="45" spans="1:43">
      <c r="A45" s="518"/>
      <c r="B45" s="525"/>
      <c r="C45" s="519"/>
      <c r="D45" s="518"/>
      <c r="E45" s="520"/>
      <c r="F45" s="518"/>
      <c r="G45" s="521"/>
      <c r="H45" s="521"/>
      <c r="I45" s="521"/>
      <c r="J45" s="521"/>
      <c r="K45" s="521"/>
      <c r="L45" s="521"/>
      <c r="M45" s="521"/>
      <c r="N45" s="521"/>
      <c r="O45" s="521"/>
      <c r="P45" s="521"/>
      <c r="Q45" s="521"/>
      <c r="R45" s="518"/>
      <c r="S45" s="518"/>
      <c r="T45" s="518"/>
      <c r="U45" s="521"/>
      <c r="V45" s="521"/>
      <c r="W45" s="521"/>
      <c r="X45" s="521"/>
      <c r="Y45" s="521"/>
      <c r="Z45" s="521"/>
      <c r="AA45" s="521"/>
      <c r="AB45" s="521"/>
      <c r="AC45" s="518"/>
      <c r="AD45" s="518"/>
      <c r="AE45" s="518"/>
      <c r="AF45" s="521"/>
      <c r="AG45" s="521"/>
      <c r="AH45" s="521"/>
      <c r="AI45" s="521"/>
      <c r="AJ45" s="521"/>
      <c r="AK45" s="521"/>
      <c r="AL45" s="521"/>
      <c r="AM45" s="521"/>
      <c r="AN45" s="518"/>
      <c r="AO45" s="518"/>
      <c r="AP45" s="518"/>
      <c r="AQ45" s="518"/>
    </row>
    <row r="46" spans="1:43">
      <c r="A46" s="518"/>
      <c r="B46" s="525"/>
      <c r="C46" s="519"/>
      <c r="D46" s="518"/>
      <c r="E46" s="520"/>
      <c r="F46" s="518"/>
      <c r="G46" s="521"/>
      <c r="H46" s="521"/>
      <c r="I46" s="521"/>
      <c r="J46" s="521"/>
      <c r="K46" s="521"/>
      <c r="L46" s="521"/>
      <c r="M46" s="521"/>
      <c r="N46" s="521"/>
      <c r="O46" s="521"/>
      <c r="P46" s="521"/>
      <c r="Q46" s="521"/>
      <c r="R46" s="518"/>
      <c r="S46" s="518"/>
      <c r="T46" s="518"/>
      <c r="U46" s="521"/>
      <c r="V46" s="521"/>
      <c r="W46" s="521"/>
      <c r="X46" s="521"/>
      <c r="Y46" s="521"/>
      <c r="Z46" s="521"/>
      <c r="AA46" s="521"/>
      <c r="AB46" s="521"/>
      <c r="AC46" s="518"/>
      <c r="AD46" s="518"/>
      <c r="AE46" s="518"/>
      <c r="AF46" s="521"/>
      <c r="AG46" s="521"/>
      <c r="AH46" s="521"/>
      <c r="AI46" s="521"/>
      <c r="AJ46" s="521"/>
      <c r="AK46" s="521"/>
      <c r="AL46" s="521"/>
      <c r="AM46" s="521"/>
      <c r="AN46" s="518"/>
      <c r="AO46" s="518"/>
      <c r="AP46" s="518"/>
      <c r="AQ46" s="518"/>
    </row>
    <row r="47" spans="1:43">
      <c r="A47" s="518"/>
      <c r="B47" s="525"/>
      <c r="C47" s="519"/>
      <c r="D47" s="518"/>
      <c r="E47" s="520"/>
      <c r="F47" s="518"/>
      <c r="G47" s="521"/>
      <c r="H47" s="521"/>
      <c r="I47" s="521"/>
      <c r="J47" s="521"/>
      <c r="K47" s="521"/>
      <c r="L47" s="521"/>
      <c r="M47" s="521"/>
      <c r="N47" s="521"/>
      <c r="O47" s="521"/>
      <c r="P47" s="521"/>
      <c r="Q47" s="521"/>
      <c r="R47" s="518"/>
      <c r="S47" s="518"/>
      <c r="T47" s="518"/>
      <c r="U47" s="521"/>
      <c r="V47" s="521"/>
      <c r="W47" s="521"/>
      <c r="X47" s="521"/>
      <c r="Y47" s="521"/>
      <c r="Z47" s="521"/>
      <c r="AA47" s="521"/>
      <c r="AB47" s="521"/>
      <c r="AC47" s="518"/>
      <c r="AD47" s="518"/>
      <c r="AE47" s="518"/>
      <c r="AF47" s="521"/>
      <c r="AG47" s="521"/>
      <c r="AH47" s="521"/>
      <c r="AI47" s="521"/>
      <c r="AJ47" s="521"/>
      <c r="AK47" s="521"/>
      <c r="AL47" s="521"/>
      <c r="AM47" s="521"/>
      <c r="AN47" s="518"/>
      <c r="AO47" s="518"/>
      <c r="AP47" s="518"/>
      <c r="AQ47" s="518"/>
    </row>
    <row r="48" spans="1:43">
      <c r="A48" s="518"/>
      <c r="B48" s="525"/>
      <c r="C48" s="519"/>
      <c r="D48" s="518"/>
      <c r="E48" s="520"/>
      <c r="F48" s="518"/>
      <c r="G48" s="521"/>
      <c r="H48" s="521"/>
      <c r="I48" s="521"/>
      <c r="J48" s="521"/>
      <c r="K48" s="521"/>
      <c r="L48" s="521"/>
      <c r="M48" s="521"/>
      <c r="N48" s="521"/>
      <c r="O48" s="521"/>
      <c r="P48" s="521"/>
      <c r="Q48" s="521"/>
      <c r="R48" s="518"/>
      <c r="S48" s="518"/>
      <c r="T48" s="518"/>
      <c r="U48" s="521"/>
      <c r="V48" s="521"/>
      <c r="W48" s="521"/>
      <c r="X48" s="521"/>
      <c r="Y48" s="521"/>
      <c r="Z48" s="521"/>
      <c r="AA48" s="521"/>
      <c r="AB48" s="521"/>
      <c r="AC48" s="518"/>
      <c r="AD48" s="518"/>
      <c r="AE48" s="518"/>
      <c r="AF48" s="521"/>
      <c r="AG48" s="521"/>
      <c r="AH48" s="521"/>
      <c r="AI48" s="521"/>
      <c r="AJ48" s="521"/>
      <c r="AK48" s="521"/>
      <c r="AL48" s="521"/>
      <c r="AM48" s="521"/>
      <c r="AN48" s="518"/>
      <c r="AO48" s="518"/>
      <c r="AP48" s="518"/>
      <c r="AQ48" s="518"/>
    </row>
    <row r="49" spans="1:43">
      <c r="A49" s="518"/>
      <c r="B49" s="525"/>
      <c r="C49" s="519"/>
      <c r="D49" s="518"/>
      <c r="E49" s="520"/>
      <c r="F49" s="518"/>
      <c r="G49" s="521"/>
      <c r="H49" s="521"/>
      <c r="I49" s="521"/>
      <c r="J49" s="521"/>
      <c r="K49" s="521"/>
      <c r="L49" s="521"/>
      <c r="M49" s="521"/>
      <c r="N49" s="521"/>
      <c r="O49" s="521"/>
      <c r="P49" s="521"/>
      <c r="Q49" s="521"/>
      <c r="R49" s="518"/>
      <c r="S49" s="518"/>
      <c r="T49" s="518"/>
      <c r="U49" s="521"/>
      <c r="V49" s="521"/>
      <c r="W49" s="521"/>
      <c r="X49" s="521"/>
      <c r="Y49" s="521"/>
      <c r="Z49" s="521"/>
      <c r="AA49" s="521"/>
      <c r="AB49" s="521"/>
      <c r="AC49" s="518"/>
      <c r="AD49" s="518"/>
      <c r="AE49" s="518"/>
      <c r="AF49" s="521"/>
      <c r="AG49" s="521"/>
      <c r="AH49" s="521"/>
      <c r="AI49" s="521"/>
      <c r="AJ49" s="521"/>
      <c r="AK49" s="521"/>
      <c r="AL49" s="521"/>
      <c r="AM49" s="521"/>
      <c r="AN49" s="518"/>
      <c r="AO49" s="518"/>
      <c r="AP49" s="518"/>
      <c r="AQ49" s="518"/>
    </row>
    <row r="50" spans="1:43">
      <c r="A50" s="518"/>
      <c r="B50" s="525"/>
      <c r="C50" s="519"/>
      <c r="D50" s="518"/>
      <c r="E50" s="520"/>
      <c r="F50" s="518"/>
      <c r="G50" s="521"/>
      <c r="H50" s="521"/>
      <c r="I50" s="521"/>
      <c r="J50" s="521"/>
      <c r="K50" s="521"/>
      <c r="L50" s="521"/>
      <c r="M50" s="521"/>
      <c r="N50" s="521"/>
      <c r="O50" s="521"/>
      <c r="P50" s="521"/>
      <c r="Q50" s="521"/>
      <c r="R50" s="518"/>
      <c r="S50" s="518"/>
      <c r="T50" s="518"/>
      <c r="U50" s="521"/>
      <c r="V50" s="521"/>
      <c r="W50" s="521"/>
      <c r="X50" s="521"/>
      <c r="Y50" s="521"/>
      <c r="Z50" s="521"/>
      <c r="AA50" s="521"/>
      <c r="AB50" s="521"/>
      <c r="AC50" s="518"/>
      <c r="AD50" s="518"/>
      <c r="AE50" s="518"/>
      <c r="AF50" s="521"/>
      <c r="AG50" s="521"/>
      <c r="AH50" s="521"/>
      <c r="AI50" s="521"/>
      <c r="AJ50" s="521"/>
      <c r="AK50" s="521"/>
      <c r="AL50" s="521"/>
      <c r="AM50" s="521"/>
      <c r="AN50" s="518"/>
      <c r="AO50" s="518"/>
      <c r="AP50" s="518"/>
      <c r="AQ50" s="518"/>
    </row>
    <row r="51" spans="1:43">
      <c r="A51" s="518"/>
      <c r="B51" s="525"/>
      <c r="C51" s="519"/>
      <c r="D51" s="518"/>
      <c r="E51" s="520"/>
      <c r="F51" s="518"/>
      <c r="G51" s="521"/>
      <c r="H51" s="521"/>
      <c r="I51" s="521"/>
      <c r="J51" s="521"/>
      <c r="K51" s="521"/>
      <c r="L51" s="521"/>
      <c r="M51" s="521"/>
      <c r="N51" s="521"/>
      <c r="O51" s="521"/>
      <c r="P51" s="521"/>
      <c r="Q51" s="521"/>
      <c r="R51" s="518"/>
      <c r="S51" s="518"/>
      <c r="T51" s="518"/>
      <c r="U51" s="521"/>
      <c r="V51" s="521"/>
      <c r="W51" s="521"/>
      <c r="X51" s="521"/>
      <c r="Y51" s="521"/>
      <c r="Z51" s="521"/>
      <c r="AA51" s="521"/>
      <c r="AB51" s="521"/>
      <c r="AC51" s="518"/>
      <c r="AD51" s="518"/>
      <c r="AE51" s="518"/>
      <c r="AF51" s="521"/>
      <c r="AG51" s="521"/>
      <c r="AH51" s="521"/>
      <c r="AI51" s="521"/>
      <c r="AJ51" s="521"/>
      <c r="AK51" s="521"/>
      <c r="AL51" s="521"/>
      <c r="AM51" s="521"/>
      <c r="AN51" s="518"/>
      <c r="AO51" s="518"/>
      <c r="AP51" s="518"/>
      <c r="AQ51" s="518"/>
    </row>
    <row r="52" spans="1:43">
      <c r="A52" s="518"/>
      <c r="B52" s="525"/>
      <c r="C52" s="519"/>
      <c r="D52" s="518"/>
      <c r="E52" s="520"/>
      <c r="F52" s="518"/>
      <c r="G52" s="521"/>
      <c r="H52" s="521"/>
      <c r="I52" s="521"/>
      <c r="J52" s="521"/>
      <c r="K52" s="521"/>
      <c r="L52" s="521"/>
      <c r="M52" s="521"/>
      <c r="N52" s="521"/>
      <c r="O52" s="521"/>
      <c r="P52" s="521"/>
      <c r="Q52" s="521"/>
      <c r="R52" s="518"/>
      <c r="S52" s="518"/>
      <c r="T52" s="518"/>
      <c r="U52" s="521"/>
      <c r="V52" s="521"/>
      <c r="W52" s="521"/>
      <c r="X52" s="521"/>
      <c r="Y52" s="521"/>
      <c r="Z52" s="521"/>
      <c r="AA52" s="521"/>
      <c r="AB52" s="521"/>
      <c r="AC52" s="518"/>
      <c r="AD52" s="518"/>
      <c r="AE52" s="518"/>
      <c r="AF52" s="521"/>
      <c r="AG52" s="521"/>
      <c r="AH52" s="521"/>
      <c r="AI52" s="521"/>
      <c r="AJ52" s="521"/>
      <c r="AK52" s="521"/>
      <c r="AL52" s="521"/>
      <c r="AM52" s="521"/>
      <c r="AN52" s="518"/>
      <c r="AO52" s="518"/>
      <c r="AP52" s="518"/>
      <c r="AQ52" s="518"/>
    </row>
    <row r="53" spans="1:43">
      <c r="A53" s="518"/>
      <c r="B53" s="525"/>
      <c r="C53" s="519"/>
      <c r="D53" s="518"/>
      <c r="E53" s="520"/>
      <c r="F53" s="518"/>
      <c r="G53" s="521"/>
      <c r="H53" s="521"/>
      <c r="I53" s="521"/>
      <c r="J53" s="521"/>
      <c r="K53" s="521"/>
      <c r="L53" s="521"/>
      <c r="M53" s="521"/>
      <c r="N53" s="521"/>
      <c r="O53" s="521"/>
      <c r="P53" s="521"/>
      <c r="Q53" s="521"/>
      <c r="R53" s="518"/>
      <c r="S53" s="518"/>
      <c r="T53" s="518"/>
      <c r="U53" s="521"/>
      <c r="V53" s="521"/>
      <c r="W53" s="521"/>
      <c r="X53" s="521"/>
      <c r="Y53" s="521"/>
      <c r="Z53" s="521"/>
      <c r="AA53" s="521"/>
      <c r="AB53" s="521"/>
      <c r="AC53" s="518"/>
      <c r="AD53" s="518"/>
      <c r="AE53" s="518"/>
      <c r="AF53" s="521"/>
      <c r="AG53" s="521"/>
      <c r="AH53" s="521"/>
      <c r="AI53" s="521"/>
      <c r="AJ53" s="521"/>
      <c r="AK53" s="521"/>
      <c r="AL53" s="521"/>
      <c r="AM53" s="521"/>
      <c r="AN53" s="518"/>
      <c r="AO53" s="518"/>
      <c r="AP53" s="518"/>
      <c r="AQ53" s="518"/>
    </row>
    <row r="54" spans="1:43">
      <c r="A54" s="518"/>
      <c r="B54" s="525"/>
      <c r="C54" s="519"/>
      <c r="D54" s="518"/>
      <c r="E54" s="520"/>
      <c r="F54" s="518"/>
      <c r="G54" s="521"/>
      <c r="H54" s="521"/>
      <c r="I54" s="521"/>
      <c r="J54" s="521"/>
      <c r="K54" s="521"/>
      <c r="L54" s="521"/>
      <c r="M54" s="521"/>
      <c r="N54" s="521"/>
      <c r="O54" s="521"/>
      <c r="P54" s="521"/>
      <c r="Q54" s="521"/>
      <c r="R54" s="518"/>
      <c r="S54" s="518"/>
      <c r="T54" s="518"/>
      <c r="U54" s="521"/>
      <c r="V54" s="521"/>
      <c r="W54" s="521"/>
      <c r="X54" s="521"/>
      <c r="Y54" s="521"/>
      <c r="Z54" s="521"/>
      <c r="AA54" s="521"/>
      <c r="AB54" s="521"/>
      <c r="AC54" s="518"/>
      <c r="AD54" s="518"/>
      <c r="AE54" s="518"/>
      <c r="AF54" s="521"/>
      <c r="AG54" s="521"/>
      <c r="AH54" s="521"/>
      <c r="AI54" s="521"/>
      <c r="AJ54" s="521"/>
      <c r="AK54" s="521"/>
      <c r="AL54" s="521"/>
      <c r="AM54" s="521"/>
      <c r="AN54" s="518"/>
      <c r="AO54" s="518"/>
      <c r="AP54" s="518"/>
      <c r="AQ54" s="518"/>
    </row>
    <row r="55" spans="1:43">
      <c r="A55" s="518"/>
      <c r="B55" s="525"/>
      <c r="C55" s="519"/>
      <c r="D55" s="518"/>
      <c r="E55" s="520"/>
      <c r="F55" s="518"/>
      <c r="G55" s="521"/>
      <c r="H55" s="521"/>
      <c r="I55" s="521"/>
      <c r="J55" s="521"/>
      <c r="K55" s="521"/>
      <c r="L55" s="521"/>
      <c r="M55" s="521"/>
      <c r="N55" s="521"/>
      <c r="O55" s="521"/>
      <c r="P55" s="521"/>
      <c r="Q55" s="521"/>
      <c r="R55" s="518"/>
      <c r="S55" s="518"/>
      <c r="T55" s="518"/>
      <c r="U55" s="521"/>
      <c r="V55" s="521"/>
      <c r="W55" s="521"/>
      <c r="X55" s="521"/>
      <c r="Y55" s="521"/>
      <c r="Z55" s="521"/>
      <c r="AA55" s="521"/>
      <c r="AB55" s="521"/>
      <c r="AC55" s="518"/>
      <c r="AD55" s="518"/>
      <c r="AE55" s="518"/>
      <c r="AF55" s="521"/>
      <c r="AG55" s="521"/>
      <c r="AH55" s="521"/>
      <c r="AI55" s="521"/>
      <c r="AJ55" s="521"/>
      <c r="AK55" s="521"/>
      <c r="AL55" s="521"/>
      <c r="AM55" s="521"/>
      <c r="AN55" s="518"/>
      <c r="AO55" s="518"/>
      <c r="AP55" s="518"/>
      <c r="AQ55" s="518"/>
    </row>
    <row r="56" spans="1:43">
      <c r="A56" s="518"/>
      <c r="B56" s="525"/>
      <c r="C56" s="519"/>
      <c r="D56" s="518"/>
      <c r="E56" s="520"/>
      <c r="F56" s="518"/>
      <c r="G56" s="521"/>
      <c r="H56" s="521"/>
      <c r="I56" s="521"/>
      <c r="J56" s="521"/>
      <c r="K56" s="521"/>
      <c r="L56" s="521"/>
      <c r="M56" s="521"/>
      <c r="N56" s="521"/>
      <c r="O56" s="521"/>
      <c r="P56" s="521"/>
      <c r="Q56" s="521"/>
      <c r="R56" s="518"/>
      <c r="S56" s="518"/>
      <c r="T56" s="518"/>
      <c r="U56" s="521"/>
      <c r="V56" s="521"/>
      <c r="W56" s="521"/>
      <c r="X56" s="521"/>
      <c r="Y56" s="521"/>
      <c r="Z56" s="521"/>
      <c r="AA56" s="521"/>
      <c r="AB56" s="521"/>
      <c r="AC56" s="518"/>
      <c r="AD56" s="518"/>
      <c r="AE56" s="518"/>
      <c r="AF56" s="521"/>
      <c r="AG56" s="521"/>
      <c r="AH56" s="521"/>
      <c r="AI56" s="521"/>
      <c r="AJ56" s="521"/>
      <c r="AK56" s="521"/>
      <c r="AL56" s="521"/>
      <c r="AM56" s="521"/>
      <c r="AN56" s="518"/>
      <c r="AO56" s="518"/>
      <c r="AP56" s="518"/>
      <c r="AQ56" s="518"/>
    </row>
    <row r="57" spans="1:43">
      <c r="A57" s="518"/>
      <c r="B57" s="525"/>
      <c r="C57" s="519"/>
      <c r="D57" s="518"/>
      <c r="E57" s="520"/>
      <c r="F57" s="518"/>
      <c r="G57" s="521"/>
      <c r="H57" s="521"/>
      <c r="I57" s="521"/>
      <c r="J57" s="521"/>
      <c r="K57" s="521"/>
      <c r="L57" s="521"/>
      <c r="M57" s="521"/>
      <c r="N57" s="521"/>
      <c r="O57" s="521"/>
      <c r="P57" s="521"/>
      <c r="Q57" s="521"/>
      <c r="R57" s="518"/>
      <c r="S57" s="518"/>
      <c r="T57" s="518"/>
      <c r="U57" s="521"/>
      <c r="V57" s="521"/>
      <c r="W57" s="521"/>
      <c r="X57" s="521"/>
      <c r="Y57" s="521"/>
      <c r="Z57" s="521"/>
      <c r="AA57" s="521"/>
      <c r="AB57" s="521"/>
      <c r="AC57" s="518"/>
      <c r="AD57" s="518"/>
      <c r="AE57" s="518"/>
      <c r="AF57" s="521"/>
      <c r="AG57" s="521"/>
      <c r="AH57" s="521"/>
      <c r="AI57" s="521"/>
      <c r="AJ57" s="521"/>
      <c r="AK57" s="521"/>
      <c r="AL57" s="521"/>
      <c r="AM57" s="521"/>
      <c r="AN57" s="518"/>
      <c r="AO57" s="518"/>
      <c r="AP57" s="518"/>
      <c r="AQ57" s="518"/>
    </row>
    <row r="58" spans="1:43">
      <c r="A58" s="518"/>
      <c r="B58" s="525"/>
      <c r="C58" s="519"/>
      <c r="D58" s="518"/>
      <c r="E58" s="520"/>
      <c r="F58" s="518"/>
      <c r="G58" s="521"/>
      <c r="H58" s="521"/>
      <c r="I58" s="521"/>
      <c r="J58" s="521"/>
      <c r="K58" s="521"/>
      <c r="L58" s="521"/>
      <c r="M58" s="521"/>
      <c r="N58" s="521"/>
      <c r="O58" s="521"/>
      <c r="P58" s="521"/>
      <c r="Q58" s="521"/>
      <c r="R58" s="518"/>
      <c r="S58" s="518"/>
      <c r="T58" s="518"/>
      <c r="U58" s="521"/>
      <c r="V58" s="521"/>
      <c r="W58" s="521"/>
      <c r="X58" s="521"/>
      <c r="Y58" s="521"/>
      <c r="Z58" s="521"/>
      <c r="AA58" s="521"/>
      <c r="AB58" s="521"/>
      <c r="AC58" s="518"/>
      <c r="AD58" s="518"/>
      <c r="AE58" s="518"/>
      <c r="AF58" s="521"/>
      <c r="AG58" s="521"/>
      <c r="AH58" s="521"/>
      <c r="AI58" s="521"/>
      <c r="AJ58" s="521"/>
      <c r="AK58" s="521"/>
      <c r="AL58" s="521"/>
      <c r="AM58" s="521"/>
      <c r="AN58" s="518"/>
      <c r="AO58" s="518"/>
      <c r="AP58" s="518"/>
      <c r="AQ58" s="518"/>
    </row>
    <row r="59" spans="1:43">
      <c r="A59" s="518"/>
      <c r="B59" s="525"/>
      <c r="C59" s="519"/>
      <c r="D59" s="518"/>
      <c r="E59" s="520"/>
      <c r="F59" s="518"/>
      <c r="G59" s="521"/>
      <c r="H59" s="521"/>
      <c r="I59" s="521"/>
      <c r="J59" s="521"/>
      <c r="K59" s="521"/>
      <c r="L59" s="521"/>
      <c r="M59" s="521"/>
      <c r="N59" s="521"/>
      <c r="O59" s="521"/>
      <c r="P59" s="521"/>
      <c r="Q59" s="521"/>
      <c r="R59" s="518"/>
      <c r="S59" s="518"/>
      <c r="T59" s="518"/>
      <c r="U59" s="521"/>
      <c r="V59" s="521"/>
      <c r="W59" s="521"/>
      <c r="X59" s="521"/>
      <c r="Y59" s="521"/>
      <c r="Z59" s="521"/>
      <c r="AA59" s="521"/>
      <c r="AB59" s="521"/>
      <c r="AC59" s="518"/>
      <c r="AD59" s="518"/>
      <c r="AE59" s="518"/>
      <c r="AF59" s="521"/>
      <c r="AG59" s="521"/>
      <c r="AH59" s="521"/>
      <c r="AI59" s="521"/>
      <c r="AJ59" s="521"/>
      <c r="AK59" s="521"/>
      <c r="AL59" s="521"/>
      <c r="AM59" s="521"/>
      <c r="AN59" s="518"/>
      <c r="AO59" s="518"/>
      <c r="AP59" s="518"/>
      <c r="AQ59" s="518"/>
    </row>
    <row r="60" spans="1:43">
      <c r="A60" s="518"/>
      <c r="B60" s="525"/>
      <c r="C60" s="519"/>
      <c r="D60" s="518"/>
      <c r="E60" s="520"/>
      <c r="F60" s="518"/>
      <c r="G60" s="521"/>
      <c r="H60" s="521"/>
      <c r="I60" s="521"/>
      <c r="J60" s="521"/>
      <c r="K60" s="521"/>
      <c r="L60" s="521"/>
      <c r="M60" s="521"/>
      <c r="N60" s="521"/>
      <c r="O60" s="521"/>
      <c r="P60" s="521"/>
      <c r="Q60" s="521"/>
      <c r="R60" s="518"/>
      <c r="S60" s="518"/>
      <c r="T60" s="518"/>
      <c r="U60" s="521"/>
      <c r="V60" s="521"/>
      <c r="W60" s="521"/>
      <c r="X60" s="521"/>
      <c r="Y60" s="521"/>
      <c r="Z60" s="521"/>
      <c r="AA60" s="521"/>
      <c r="AB60" s="521"/>
      <c r="AC60" s="518"/>
      <c r="AD60" s="518"/>
      <c r="AE60" s="518"/>
      <c r="AF60" s="521"/>
      <c r="AG60" s="521"/>
      <c r="AH60" s="521"/>
      <c r="AI60" s="521"/>
      <c r="AJ60" s="521"/>
      <c r="AK60" s="521"/>
      <c r="AL60" s="521"/>
      <c r="AM60" s="521"/>
      <c r="AN60" s="518"/>
      <c r="AO60" s="518"/>
      <c r="AP60" s="518"/>
      <c r="AQ60" s="518"/>
    </row>
    <row r="61" spans="1:43">
      <c r="A61" s="518"/>
      <c r="B61" s="525"/>
      <c r="C61" s="519"/>
      <c r="D61" s="518"/>
      <c r="E61" s="520"/>
      <c r="F61" s="518"/>
      <c r="G61" s="521"/>
      <c r="H61" s="521"/>
      <c r="I61" s="521"/>
      <c r="J61" s="521"/>
      <c r="K61" s="521"/>
      <c r="L61" s="521"/>
      <c r="M61" s="521"/>
      <c r="N61" s="521"/>
      <c r="O61" s="521"/>
      <c r="P61" s="521"/>
      <c r="Q61" s="521"/>
      <c r="R61" s="518"/>
      <c r="S61" s="518"/>
      <c r="T61" s="518"/>
      <c r="U61" s="521"/>
      <c r="V61" s="521"/>
      <c r="W61" s="521"/>
      <c r="X61" s="521"/>
      <c r="Y61" s="521"/>
      <c r="Z61" s="521"/>
      <c r="AA61" s="521"/>
      <c r="AB61" s="521"/>
      <c r="AC61" s="518"/>
      <c r="AD61" s="518"/>
      <c r="AE61" s="518"/>
      <c r="AF61" s="521"/>
      <c r="AG61" s="521"/>
      <c r="AH61" s="521"/>
      <c r="AI61" s="521"/>
      <c r="AJ61" s="521"/>
      <c r="AK61" s="521"/>
      <c r="AL61" s="521"/>
      <c r="AM61" s="521"/>
      <c r="AN61" s="518"/>
      <c r="AO61" s="518"/>
      <c r="AP61" s="518"/>
      <c r="AQ61" s="518"/>
    </row>
    <row r="62" spans="1:43">
      <c r="A62" s="518"/>
      <c r="B62" s="525"/>
      <c r="C62" s="519"/>
      <c r="D62" s="518"/>
      <c r="E62" s="520"/>
      <c r="F62" s="518"/>
      <c r="G62" s="521"/>
      <c r="H62" s="521"/>
      <c r="I62" s="521"/>
      <c r="J62" s="521"/>
      <c r="K62" s="521"/>
      <c r="L62" s="521"/>
      <c r="M62" s="521"/>
      <c r="N62" s="521"/>
      <c r="O62" s="521"/>
      <c r="P62" s="521"/>
      <c r="Q62" s="521"/>
      <c r="R62" s="518"/>
      <c r="S62" s="518"/>
      <c r="T62" s="518"/>
      <c r="U62" s="521"/>
      <c r="V62" s="521"/>
      <c r="W62" s="521"/>
      <c r="X62" s="521"/>
      <c r="Y62" s="521"/>
      <c r="Z62" s="521"/>
      <c r="AA62" s="521"/>
      <c r="AB62" s="521"/>
      <c r="AC62" s="518"/>
      <c r="AD62" s="518"/>
      <c r="AE62" s="518"/>
      <c r="AF62" s="521"/>
      <c r="AG62" s="521"/>
      <c r="AH62" s="521"/>
      <c r="AI62" s="521"/>
      <c r="AJ62" s="521"/>
      <c r="AK62" s="521"/>
      <c r="AL62" s="521"/>
      <c r="AM62" s="521"/>
      <c r="AN62" s="518"/>
      <c r="AO62" s="518"/>
      <c r="AP62" s="518"/>
      <c r="AQ62" s="518"/>
    </row>
    <row r="63" spans="1:43">
      <c r="A63" s="518"/>
      <c r="B63" s="525"/>
      <c r="C63" s="519"/>
      <c r="D63" s="518"/>
      <c r="E63" s="520"/>
      <c r="F63" s="518"/>
      <c r="G63" s="521"/>
      <c r="H63" s="521"/>
      <c r="I63" s="521"/>
      <c r="J63" s="521"/>
      <c r="K63" s="521"/>
      <c r="L63" s="521"/>
      <c r="M63" s="521"/>
      <c r="N63" s="521"/>
      <c r="O63" s="521"/>
      <c r="P63" s="521"/>
      <c r="Q63" s="521"/>
      <c r="R63" s="518"/>
      <c r="S63" s="518"/>
      <c r="T63" s="518"/>
      <c r="U63" s="521"/>
      <c r="V63" s="521"/>
      <c r="W63" s="521"/>
      <c r="X63" s="521"/>
      <c r="Y63" s="521"/>
      <c r="Z63" s="521"/>
      <c r="AA63" s="521"/>
      <c r="AB63" s="521"/>
      <c r="AC63" s="518"/>
      <c r="AD63" s="518"/>
      <c r="AE63" s="518"/>
      <c r="AF63" s="521"/>
      <c r="AG63" s="521"/>
      <c r="AH63" s="521"/>
      <c r="AI63" s="521"/>
      <c r="AJ63" s="521"/>
      <c r="AK63" s="521"/>
      <c r="AL63" s="521"/>
      <c r="AM63" s="521"/>
      <c r="AN63" s="518"/>
      <c r="AO63" s="518"/>
      <c r="AP63" s="518"/>
      <c r="AQ63" s="518"/>
    </row>
    <row r="64" spans="1:43">
      <c r="A64" s="518"/>
      <c r="B64" s="525"/>
      <c r="C64" s="519"/>
      <c r="D64" s="518"/>
      <c r="E64" s="520"/>
      <c r="F64" s="518"/>
      <c r="G64" s="521"/>
      <c r="H64" s="521"/>
      <c r="I64" s="521"/>
      <c r="J64" s="521"/>
      <c r="K64" s="521"/>
      <c r="L64" s="521"/>
      <c r="M64" s="521"/>
      <c r="N64" s="521"/>
      <c r="O64" s="521"/>
      <c r="P64" s="521"/>
      <c r="Q64" s="521"/>
      <c r="R64" s="518"/>
      <c r="S64" s="518"/>
      <c r="T64" s="518"/>
      <c r="U64" s="521"/>
      <c r="V64" s="521"/>
      <c r="W64" s="521"/>
      <c r="X64" s="521"/>
      <c r="Y64" s="521"/>
      <c r="Z64" s="521"/>
      <c r="AA64" s="521"/>
      <c r="AB64" s="521"/>
      <c r="AC64" s="518"/>
      <c r="AD64" s="518"/>
      <c r="AE64" s="518"/>
      <c r="AF64" s="521"/>
      <c r="AG64" s="521"/>
      <c r="AH64" s="521"/>
      <c r="AI64" s="521"/>
      <c r="AJ64" s="521"/>
      <c r="AK64" s="521"/>
      <c r="AL64" s="521"/>
      <c r="AM64" s="521"/>
      <c r="AN64" s="518"/>
      <c r="AO64" s="518"/>
      <c r="AP64" s="518"/>
      <c r="AQ64" s="518"/>
    </row>
    <row r="65" spans="1:43">
      <c r="A65" s="518"/>
      <c r="B65" s="525"/>
      <c r="C65" s="519"/>
      <c r="D65" s="518"/>
      <c r="E65" s="520"/>
      <c r="F65" s="518"/>
      <c r="G65" s="521"/>
      <c r="H65" s="521"/>
      <c r="I65" s="521"/>
      <c r="J65" s="521"/>
      <c r="K65" s="521"/>
      <c r="L65" s="521"/>
      <c r="M65" s="521"/>
      <c r="N65" s="521"/>
      <c r="O65" s="521"/>
      <c r="P65" s="521"/>
      <c r="Q65" s="521"/>
      <c r="R65" s="518"/>
      <c r="S65" s="518"/>
      <c r="T65" s="518"/>
      <c r="U65" s="521"/>
      <c r="V65" s="521"/>
      <c r="W65" s="521"/>
      <c r="X65" s="521"/>
      <c r="Y65" s="521"/>
      <c r="Z65" s="521"/>
      <c r="AA65" s="521"/>
      <c r="AB65" s="521"/>
      <c r="AC65" s="518"/>
      <c r="AD65" s="518"/>
      <c r="AE65" s="518"/>
      <c r="AF65" s="521"/>
      <c r="AG65" s="521"/>
      <c r="AH65" s="521"/>
      <c r="AI65" s="521"/>
      <c r="AJ65" s="521"/>
      <c r="AK65" s="521"/>
      <c r="AL65" s="521"/>
      <c r="AM65" s="521"/>
      <c r="AN65" s="518"/>
      <c r="AO65" s="518"/>
      <c r="AP65" s="518"/>
      <c r="AQ65" s="518"/>
    </row>
    <row r="66" spans="1:43">
      <c r="A66" s="518"/>
      <c r="B66" s="525"/>
      <c r="C66" s="519"/>
      <c r="D66" s="518"/>
      <c r="E66" s="520"/>
      <c r="F66" s="518"/>
      <c r="G66" s="521"/>
      <c r="H66" s="521"/>
      <c r="I66" s="521"/>
      <c r="J66" s="521"/>
      <c r="K66" s="521"/>
      <c r="L66" s="521"/>
      <c r="M66" s="521"/>
      <c r="N66" s="521"/>
      <c r="O66" s="521"/>
      <c r="P66" s="521"/>
      <c r="Q66" s="521"/>
      <c r="R66" s="518"/>
      <c r="S66" s="518"/>
      <c r="T66" s="518"/>
      <c r="U66" s="521"/>
      <c r="V66" s="521"/>
      <c r="W66" s="521"/>
      <c r="X66" s="521"/>
      <c r="Y66" s="521"/>
      <c r="Z66" s="521"/>
      <c r="AA66" s="521"/>
      <c r="AB66" s="521"/>
      <c r="AC66" s="518"/>
      <c r="AD66" s="518"/>
      <c r="AE66" s="518"/>
      <c r="AF66" s="521"/>
      <c r="AG66" s="521"/>
      <c r="AH66" s="521"/>
      <c r="AI66" s="521"/>
      <c r="AJ66" s="521"/>
      <c r="AK66" s="521"/>
      <c r="AL66" s="521"/>
      <c r="AM66" s="521"/>
      <c r="AN66" s="518"/>
      <c r="AO66" s="518"/>
      <c r="AP66" s="518"/>
      <c r="AQ66" s="518"/>
    </row>
    <row r="67" spans="1:43">
      <c r="A67" s="518"/>
      <c r="B67" s="525"/>
      <c r="C67" s="519"/>
      <c r="D67" s="518"/>
      <c r="E67" s="520"/>
      <c r="F67" s="518"/>
      <c r="G67" s="521"/>
      <c r="H67" s="521"/>
      <c r="I67" s="521"/>
      <c r="J67" s="521"/>
      <c r="K67" s="521"/>
      <c r="L67" s="521"/>
      <c r="M67" s="521"/>
      <c r="N67" s="521"/>
      <c r="O67" s="521"/>
      <c r="P67" s="521"/>
      <c r="Q67" s="521"/>
      <c r="R67" s="518"/>
      <c r="S67" s="518"/>
      <c r="T67" s="518"/>
      <c r="U67" s="521"/>
      <c r="V67" s="521"/>
      <c r="W67" s="521"/>
      <c r="X67" s="521"/>
      <c r="Y67" s="521"/>
      <c r="Z67" s="521"/>
      <c r="AA67" s="521"/>
      <c r="AB67" s="521"/>
      <c r="AC67" s="518"/>
      <c r="AD67" s="518"/>
      <c r="AE67" s="518"/>
      <c r="AF67" s="521"/>
      <c r="AG67" s="521"/>
      <c r="AH67" s="521"/>
      <c r="AI67" s="521"/>
      <c r="AJ67" s="521"/>
      <c r="AK67" s="521"/>
      <c r="AL67" s="521"/>
      <c r="AM67" s="521"/>
      <c r="AN67" s="518"/>
      <c r="AO67" s="518"/>
      <c r="AP67" s="518"/>
      <c r="AQ67" s="518"/>
    </row>
    <row r="68" spans="1:43">
      <c r="A68" s="518"/>
      <c r="B68" s="525"/>
      <c r="C68" s="519"/>
      <c r="D68" s="518"/>
      <c r="E68" s="520"/>
      <c r="F68" s="518"/>
      <c r="G68" s="521"/>
      <c r="H68" s="521"/>
      <c r="I68" s="521"/>
      <c r="J68" s="521"/>
      <c r="K68" s="521"/>
      <c r="L68" s="521"/>
      <c r="M68" s="521"/>
      <c r="N68" s="521"/>
      <c r="O68" s="521"/>
      <c r="P68" s="521"/>
      <c r="Q68" s="521"/>
      <c r="R68" s="518"/>
      <c r="S68" s="518"/>
      <c r="T68" s="518"/>
      <c r="U68" s="521"/>
      <c r="V68" s="521"/>
      <c r="W68" s="521"/>
      <c r="X68" s="521"/>
      <c r="Y68" s="521"/>
      <c r="Z68" s="521"/>
      <c r="AA68" s="521"/>
      <c r="AB68" s="521"/>
      <c r="AC68" s="518"/>
      <c r="AD68" s="518"/>
      <c r="AE68" s="518"/>
      <c r="AF68" s="521"/>
      <c r="AG68" s="521"/>
      <c r="AH68" s="521"/>
      <c r="AI68" s="521"/>
      <c r="AJ68" s="521"/>
      <c r="AK68" s="521"/>
      <c r="AL68" s="521"/>
      <c r="AM68" s="521"/>
      <c r="AN68" s="518"/>
      <c r="AO68" s="518"/>
      <c r="AP68" s="518"/>
      <c r="AQ68" s="518"/>
    </row>
    <row r="69" spans="1:43">
      <c r="A69" s="518"/>
      <c r="B69" s="525"/>
      <c r="C69" s="519"/>
      <c r="D69" s="518"/>
      <c r="E69" s="520"/>
      <c r="F69" s="518"/>
      <c r="G69" s="521"/>
      <c r="H69" s="521"/>
      <c r="I69" s="521"/>
      <c r="J69" s="521"/>
      <c r="K69" s="521"/>
      <c r="L69" s="521"/>
      <c r="M69" s="521"/>
      <c r="N69" s="521"/>
      <c r="O69" s="521"/>
      <c r="P69" s="521"/>
      <c r="Q69" s="521"/>
      <c r="R69" s="518"/>
      <c r="S69" s="518"/>
      <c r="T69" s="518"/>
      <c r="U69" s="521"/>
      <c r="V69" s="521"/>
      <c r="W69" s="521"/>
      <c r="X69" s="521"/>
      <c r="Y69" s="521"/>
      <c r="Z69" s="521"/>
      <c r="AA69" s="521"/>
      <c r="AB69" s="521"/>
      <c r="AC69" s="518"/>
      <c r="AD69" s="518"/>
      <c r="AE69" s="518"/>
      <c r="AF69" s="521"/>
      <c r="AG69" s="521"/>
      <c r="AH69" s="521"/>
      <c r="AI69" s="521"/>
      <c r="AJ69" s="521"/>
      <c r="AK69" s="521"/>
      <c r="AL69" s="521"/>
      <c r="AM69" s="521"/>
      <c r="AN69" s="518"/>
      <c r="AO69" s="518"/>
      <c r="AP69" s="518"/>
      <c r="AQ69" s="518"/>
    </row>
    <row r="70" spans="1:43">
      <c r="A70" s="518"/>
      <c r="B70" s="525"/>
      <c r="C70" s="519"/>
      <c r="D70" s="518"/>
      <c r="E70" s="520"/>
      <c r="F70" s="518"/>
      <c r="G70" s="521"/>
      <c r="H70" s="521"/>
      <c r="I70" s="521"/>
      <c r="J70" s="521"/>
      <c r="K70" s="521"/>
      <c r="L70" s="521"/>
      <c r="M70" s="521"/>
      <c r="N70" s="521"/>
      <c r="O70" s="521"/>
      <c r="P70" s="521"/>
      <c r="Q70" s="521"/>
      <c r="R70" s="518"/>
      <c r="S70" s="518"/>
      <c r="T70" s="518"/>
      <c r="U70" s="521"/>
      <c r="V70" s="521"/>
      <c r="W70" s="521"/>
      <c r="X70" s="521"/>
      <c r="Y70" s="521"/>
      <c r="Z70" s="521"/>
      <c r="AA70" s="521"/>
      <c r="AB70" s="521"/>
      <c r="AC70" s="518"/>
      <c r="AD70" s="518"/>
      <c r="AE70" s="518"/>
      <c r="AF70" s="521"/>
      <c r="AG70" s="521"/>
      <c r="AH70" s="521"/>
      <c r="AI70" s="521"/>
      <c r="AJ70" s="521"/>
      <c r="AK70" s="521"/>
      <c r="AL70" s="521"/>
      <c r="AM70" s="521"/>
      <c r="AN70" s="518"/>
      <c r="AO70" s="518"/>
      <c r="AP70" s="518"/>
      <c r="AQ70" s="518"/>
    </row>
    <row r="71" spans="1:43">
      <c r="A71" s="518"/>
      <c r="B71" s="525"/>
      <c r="C71" s="519"/>
      <c r="D71" s="518"/>
      <c r="E71" s="520"/>
      <c r="F71" s="518"/>
      <c r="G71" s="521"/>
      <c r="H71" s="521"/>
      <c r="I71" s="521"/>
      <c r="J71" s="521"/>
      <c r="K71" s="521"/>
      <c r="L71" s="521"/>
      <c r="M71" s="521"/>
      <c r="N71" s="521"/>
      <c r="O71" s="521"/>
      <c r="P71" s="521"/>
      <c r="Q71" s="521"/>
      <c r="R71" s="518"/>
      <c r="S71" s="518"/>
      <c r="T71" s="518"/>
      <c r="U71" s="521"/>
      <c r="V71" s="521"/>
      <c r="W71" s="521"/>
      <c r="X71" s="521"/>
      <c r="Y71" s="521"/>
      <c r="Z71" s="521"/>
      <c r="AA71" s="521"/>
      <c r="AB71" s="521"/>
      <c r="AC71" s="518"/>
      <c r="AD71" s="518"/>
      <c r="AE71" s="518"/>
      <c r="AF71" s="521"/>
      <c r="AG71" s="521"/>
      <c r="AH71" s="521"/>
      <c r="AI71" s="521"/>
      <c r="AJ71" s="521"/>
      <c r="AK71" s="521"/>
      <c r="AL71" s="521"/>
      <c r="AM71" s="521"/>
      <c r="AN71" s="518"/>
      <c r="AO71" s="518"/>
      <c r="AP71" s="518"/>
      <c r="AQ71" s="518"/>
    </row>
    <row r="72" spans="1:43">
      <c r="A72" s="518"/>
      <c r="B72" s="525"/>
      <c r="C72" s="519"/>
      <c r="D72" s="518"/>
      <c r="E72" s="520"/>
      <c r="F72" s="518"/>
      <c r="G72" s="521"/>
      <c r="H72" s="521"/>
      <c r="I72" s="521"/>
      <c r="J72" s="521"/>
      <c r="K72" s="521"/>
      <c r="L72" s="521"/>
      <c r="M72" s="521"/>
      <c r="N72" s="521"/>
      <c r="O72" s="521"/>
      <c r="P72" s="521"/>
      <c r="Q72" s="521"/>
      <c r="R72" s="518"/>
      <c r="S72" s="518"/>
      <c r="T72" s="518"/>
      <c r="U72" s="521"/>
      <c r="V72" s="521"/>
      <c r="W72" s="521"/>
      <c r="X72" s="521"/>
      <c r="Y72" s="521"/>
      <c r="Z72" s="521"/>
      <c r="AA72" s="521"/>
      <c r="AB72" s="521"/>
      <c r="AC72" s="518"/>
      <c r="AD72" s="518"/>
      <c r="AE72" s="518"/>
      <c r="AF72" s="521"/>
      <c r="AG72" s="521"/>
      <c r="AH72" s="521"/>
      <c r="AI72" s="521"/>
      <c r="AJ72" s="521"/>
      <c r="AK72" s="521"/>
      <c r="AL72" s="521"/>
      <c r="AM72" s="521"/>
      <c r="AN72" s="518"/>
      <c r="AO72" s="518"/>
      <c r="AP72" s="518"/>
      <c r="AQ72" s="518"/>
    </row>
    <row r="73" spans="1:43">
      <c r="A73" s="518"/>
      <c r="B73" s="525"/>
      <c r="C73" s="519"/>
      <c r="D73" s="518"/>
      <c r="E73" s="520"/>
      <c r="F73" s="518"/>
      <c r="G73" s="521"/>
      <c r="H73" s="521"/>
      <c r="I73" s="521"/>
      <c r="J73" s="521"/>
      <c r="K73" s="521"/>
      <c r="L73" s="521"/>
      <c r="M73" s="521"/>
      <c r="N73" s="521"/>
      <c r="O73" s="521"/>
      <c r="P73" s="521"/>
      <c r="Q73" s="521"/>
      <c r="R73" s="518"/>
      <c r="S73" s="518"/>
      <c r="T73" s="518"/>
      <c r="U73" s="521"/>
      <c r="V73" s="521"/>
      <c r="W73" s="521"/>
      <c r="X73" s="521"/>
      <c r="Y73" s="521"/>
      <c r="Z73" s="521"/>
      <c r="AA73" s="521"/>
      <c r="AB73" s="521"/>
      <c r="AC73" s="518"/>
      <c r="AD73" s="518"/>
      <c r="AE73" s="518"/>
      <c r="AF73" s="521"/>
      <c r="AG73" s="521"/>
      <c r="AH73" s="521"/>
      <c r="AI73" s="521"/>
      <c r="AJ73" s="521"/>
      <c r="AK73" s="521"/>
      <c r="AL73" s="521"/>
      <c r="AM73" s="521"/>
      <c r="AN73" s="518"/>
      <c r="AO73" s="518"/>
      <c r="AP73" s="518"/>
      <c r="AQ73" s="518"/>
    </row>
    <row r="74" spans="1:43">
      <c r="A74" s="518"/>
      <c r="B74" s="525"/>
      <c r="C74" s="519"/>
      <c r="D74" s="518"/>
      <c r="E74" s="520"/>
      <c r="F74" s="518"/>
      <c r="G74" s="521"/>
      <c r="H74" s="521"/>
      <c r="I74" s="521"/>
      <c r="J74" s="521"/>
      <c r="K74" s="521"/>
      <c r="L74" s="521"/>
      <c r="M74" s="521"/>
      <c r="N74" s="521"/>
      <c r="O74" s="521"/>
      <c r="P74" s="521"/>
      <c r="Q74" s="521"/>
      <c r="R74" s="518"/>
      <c r="S74" s="518"/>
      <c r="T74" s="518"/>
      <c r="U74" s="521"/>
      <c r="V74" s="521"/>
      <c r="W74" s="521"/>
      <c r="X74" s="521"/>
      <c r="Y74" s="521"/>
      <c r="Z74" s="521"/>
      <c r="AA74" s="521"/>
      <c r="AB74" s="521"/>
      <c r="AC74" s="518"/>
      <c r="AD74" s="518"/>
      <c r="AE74" s="518"/>
      <c r="AF74" s="521"/>
      <c r="AG74" s="521"/>
      <c r="AH74" s="521"/>
      <c r="AI74" s="521"/>
      <c r="AJ74" s="521"/>
      <c r="AK74" s="521"/>
      <c r="AL74" s="521"/>
      <c r="AM74" s="521"/>
      <c r="AN74" s="518"/>
      <c r="AO74" s="518"/>
      <c r="AP74" s="518"/>
      <c r="AQ74" s="518"/>
    </row>
    <row r="75" spans="1:43">
      <c r="A75" s="518"/>
      <c r="B75" s="525"/>
      <c r="C75" s="519"/>
      <c r="D75" s="518"/>
      <c r="E75" s="520"/>
      <c r="F75" s="518"/>
      <c r="G75" s="521"/>
      <c r="H75" s="521"/>
      <c r="I75" s="521"/>
      <c r="J75" s="521"/>
      <c r="K75" s="521"/>
      <c r="L75" s="521"/>
      <c r="M75" s="521"/>
      <c r="N75" s="521"/>
      <c r="O75" s="521"/>
      <c r="P75" s="521"/>
      <c r="Q75" s="521"/>
      <c r="R75" s="518"/>
      <c r="S75" s="518"/>
      <c r="T75" s="518"/>
      <c r="U75" s="521"/>
      <c r="V75" s="521"/>
      <c r="W75" s="521"/>
      <c r="X75" s="521"/>
      <c r="Y75" s="521"/>
      <c r="Z75" s="521"/>
      <c r="AA75" s="521"/>
      <c r="AB75" s="521"/>
      <c r="AC75" s="518"/>
      <c r="AD75" s="518"/>
      <c r="AE75" s="518"/>
      <c r="AF75" s="521"/>
      <c r="AG75" s="521"/>
      <c r="AH75" s="521"/>
      <c r="AI75" s="521"/>
      <c r="AJ75" s="521"/>
      <c r="AK75" s="521"/>
      <c r="AL75" s="521"/>
      <c r="AM75" s="521"/>
      <c r="AN75" s="518"/>
      <c r="AO75" s="518"/>
      <c r="AP75" s="518"/>
      <c r="AQ75" s="518"/>
    </row>
    <row r="76" spans="1:43">
      <c r="A76" s="518"/>
      <c r="B76" s="525"/>
      <c r="C76" s="519"/>
      <c r="D76" s="518"/>
      <c r="E76" s="520"/>
      <c r="F76" s="518"/>
      <c r="G76" s="521"/>
      <c r="H76" s="521"/>
      <c r="I76" s="521"/>
      <c r="J76" s="521"/>
      <c r="K76" s="521"/>
      <c r="L76" s="521"/>
      <c r="M76" s="521"/>
      <c r="N76" s="521"/>
      <c r="O76" s="521"/>
      <c r="P76" s="521"/>
      <c r="Q76" s="521"/>
      <c r="R76" s="518"/>
      <c r="S76" s="518"/>
      <c r="T76" s="518"/>
      <c r="U76" s="521"/>
      <c r="V76" s="521"/>
      <c r="W76" s="521"/>
      <c r="X76" s="521"/>
      <c r="Y76" s="521"/>
      <c r="Z76" s="521"/>
      <c r="AA76" s="521"/>
      <c r="AB76" s="521"/>
      <c r="AC76" s="518"/>
      <c r="AD76" s="518"/>
      <c r="AE76" s="518"/>
      <c r="AF76" s="521"/>
      <c r="AG76" s="521"/>
      <c r="AH76" s="521"/>
      <c r="AI76" s="521"/>
      <c r="AJ76" s="521"/>
      <c r="AK76" s="521"/>
      <c r="AL76" s="521"/>
      <c r="AM76" s="521"/>
      <c r="AN76" s="518"/>
      <c r="AO76" s="518"/>
      <c r="AP76" s="518"/>
      <c r="AQ76" s="518"/>
    </row>
    <row r="77" spans="1:43">
      <c r="A77" s="518"/>
      <c r="B77" s="525"/>
      <c r="C77" s="519"/>
      <c r="D77" s="518"/>
      <c r="E77" s="520"/>
      <c r="F77" s="518"/>
      <c r="G77" s="521"/>
      <c r="H77" s="521"/>
      <c r="I77" s="521"/>
      <c r="J77" s="521"/>
      <c r="K77" s="521"/>
      <c r="L77" s="521"/>
      <c r="M77" s="521"/>
      <c r="N77" s="521"/>
      <c r="O77" s="521"/>
      <c r="P77" s="521"/>
      <c r="Q77" s="521"/>
      <c r="R77" s="518"/>
      <c r="S77" s="518"/>
      <c r="T77" s="518"/>
      <c r="U77" s="521"/>
      <c r="V77" s="521"/>
      <c r="W77" s="521"/>
      <c r="X77" s="521"/>
      <c r="Y77" s="521"/>
      <c r="Z77" s="521"/>
      <c r="AA77" s="521"/>
      <c r="AB77" s="521"/>
      <c r="AC77" s="518"/>
      <c r="AD77" s="518"/>
      <c r="AE77" s="518"/>
      <c r="AF77" s="521"/>
      <c r="AG77" s="521"/>
      <c r="AH77" s="521"/>
      <c r="AI77" s="521"/>
      <c r="AJ77" s="521"/>
      <c r="AK77" s="521"/>
      <c r="AL77" s="521"/>
      <c r="AM77" s="521"/>
      <c r="AN77" s="518"/>
      <c r="AO77" s="518"/>
      <c r="AP77" s="518"/>
      <c r="AQ77" s="518"/>
    </row>
    <row r="78" spans="1:43">
      <c r="A78" s="518"/>
      <c r="B78" s="525"/>
      <c r="C78" s="519"/>
      <c r="D78" s="518"/>
      <c r="E78" s="520"/>
      <c r="F78" s="518"/>
      <c r="G78" s="521"/>
      <c r="H78" s="521"/>
      <c r="I78" s="521"/>
      <c r="J78" s="521"/>
      <c r="K78" s="521"/>
      <c r="L78" s="521"/>
      <c r="M78" s="521"/>
      <c r="N78" s="521"/>
      <c r="O78" s="521"/>
      <c r="P78" s="521"/>
      <c r="Q78" s="521"/>
      <c r="R78" s="518"/>
      <c r="S78" s="518"/>
      <c r="T78" s="518"/>
      <c r="U78" s="521"/>
      <c r="V78" s="521"/>
      <c r="W78" s="521"/>
      <c r="X78" s="521"/>
      <c r="Y78" s="521"/>
      <c r="Z78" s="521"/>
      <c r="AA78" s="521"/>
      <c r="AB78" s="521"/>
      <c r="AC78" s="518"/>
      <c r="AD78" s="518"/>
      <c r="AE78" s="518"/>
      <c r="AF78" s="521"/>
      <c r="AG78" s="521"/>
      <c r="AH78" s="521"/>
      <c r="AI78" s="521"/>
      <c r="AJ78" s="521"/>
      <c r="AK78" s="521"/>
      <c r="AL78" s="521"/>
      <c r="AM78" s="521"/>
      <c r="AN78" s="518"/>
      <c r="AO78" s="518"/>
      <c r="AP78" s="518"/>
      <c r="AQ78" s="518"/>
    </row>
    <row r="79" spans="1:43">
      <c r="A79" s="518"/>
      <c r="B79" s="525"/>
      <c r="C79" s="519"/>
      <c r="D79" s="518"/>
      <c r="E79" s="520"/>
      <c r="F79" s="518"/>
      <c r="G79" s="521"/>
      <c r="H79" s="521"/>
      <c r="I79" s="521"/>
      <c r="J79" s="521"/>
      <c r="K79" s="521"/>
      <c r="L79" s="521"/>
      <c r="M79" s="521"/>
      <c r="N79" s="521"/>
      <c r="O79" s="521"/>
      <c r="P79" s="521"/>
      <c r="Q79" s="521"/>
      <c r="R79" s="518"/>
      <c r="S79" s="518"/>
      <c r="T79" s="518"/>
      <c r="U79" s="521"/>
      <c r="V79" s="521"/>
      <c r="W79" s="521"/>
      <c r="X79" s="521"/>
      <c r="Y79" s="521"/>
      <c r="Z79" s="521"/>
      <c r="AA79" s="521"/>
      <c r="AB79" s="521"/>
      <c r="AC79" s="518"/>
      <c r="AD79" s="518"/>
      <c r="AE79" s="518"/>
      <c r="AF79" s="521"/>
      <c r="AG79" s="521"/>
      <c r="AH79" s="521"/>
      <c r="AI79" s="521"/>
      <c r="AJ79" s="521"/>
      <c r="AK79" s="521"/>
      <c r="AL79" s="521"/>
      <c r="AM79" s="521"/>
      <c r="AN79" s="518"/>
      <c r="AO79" s="518"/>
      <c r="AP79" s="518"/>
      <c r="AQ79" s="518"/>
    </row>
    <row r="80" spans="1:43">
      <c r="A80" s="518"/>
      <c r="B80" s="525"/>
      <c r="C80" s="519"/>
      <c r="D80" s="518"/>
      <c r="E80" s="520"/>
      <c r="F80" s="518"/>
      <c r="G80" s="521"/>
      <c r="H80" s="521"/>
      <c r="I80" s="521"/>
      <c r="J80" s="521"/>
      <c r="K80" s="521"/>
      <c r="L80" s="521"/>
      <c r="M80" s="521"/>
      <c r="N80" s="521"/>
      <c r="O80" s="521"/>
      <c r="P80" s="521"/>
      <c r="Q80" s="521"/>
      <c r="R80" s="518"/>
      <c r="S80" s="518"/>
      <c r="T80" s="518"/>
      <c r="U80" s="521"/>
      <c r="V80" s="521"/>
      <c r="W80" s="521"/>
      <c r="X80" s="521"/>
      <c r="Y80" s="521"/>
      <c r="Z80" s="521"/>
      <c r="AA80" s="521"/>
      <c r="AB80" s="521"/>
      <c r="AC80" s="518"/>
      <c r="AD80" s="518"/>
      <c r="AE80" s="518"/>
      <c r="AF80" s="521"/>
      <c r="AG80" s="521"/>
      <c r="AH80" s="521"/>
      <c r="AI80" s="521"/>
      <c r="AJ80" s="521"/>
      <c r="AK80" s="521"/>
      <c r="AL80" s="521"/>
      <c r="AM80" s="521"/>
      <c r="AN80" s="518"/>
      <c r="AO80" s="518"/>
      <c r="AP80" s="518"/>
      <c r="AQ80" s="518"/>
    </row>
    <row r="81" spans="1:43">
      <c r="A81" s="518"/>
      <c r="B81" s="525"/>
      <c r="C81" s="519"/>
      <c r="D81" s="518"/>
      <c r="E81" s="520"/>
      <c r="F81" s="518"/>
      <c r="G81" s="521"/>
      <c r="H81" s="521"/>
      <c r="I81" s="521"/>
      <c r="J81" s="521"/>
      <c r="K81" s="521"/>
      <c r="L81" s="521"/>
      <c r="M81" s="521"/>
      <c r="N81" s="521"/>
      <c r="O81" s="521"/>
      <c r="P81" s="521"/>
      <c r="Q81" s="521"/>
      <c r="R81" s="518"/>
      <c r="S81" s="518"/>
      <c r="T81" s="518"/>
      <c r="U81" s="521"/>
      <c r="V81" s="521"/>
      <c r="W81" s="521"/>
      <c r="X81" s="521"/>
      <c r="Y81" s="521"/>
      <c r="Z81" s="521"/>
      <c r="AA81" s="521"/>
      <c r="AB81" s="521"/>
      <c r="AC81" s="518"/>
      <c r="AD81" s="518"/>
      <c r="AE81" s="518"/>
      <c r="AF81" s="521"/>
      <c r="AG81" s="521"/>
      <c r="AH81" s="521"/>
      <c r="AI81" s="521"/>
      <c r="AJ81" s="521"/>
      <c r="AK81" s="521"/>
      <c r="AL81" s="521"/>
      <c r="AM81" s="521"/>
      <c r="AN81" s="518"/>
      <c r="AO81" s="518"/>
      <c r="AP81" s="518"/>
      <c r="AQ81" s="518"/>
    </row>
    <row r="82" spans="1:43">
      <c r="A82" s="518"/>
      <c r="B82" s="525"/>
      <c r="C82" s="519"/>
      <c r="D82" s="518"/>
      <c r="E82" s="520"/>
      <c r="F82" s="518"/>
      <c r="G82" s="521"/>
      <c r="H82" s="521"/>
      <c r="I82" s="521"/>
      <c r="J82" s="521"/>
      <c r="K82" s="521"/>
      <c r="L82" s="521"/>
      <c r="M82" s="521"/>
      <c r="N82" s="521"/>
      <c r="O82" s="521"/>
      <c r="P82" s="521"/>
      <c r="Q82" s="521"/>
      <c r="R82" s="518"/>
      <c r="S82" s="518"/>
      <c r="T82" s="518"/>
      <c r="U82" s="521"/>
      <c r="V82" s="521"/>
      <c r="W82" s="521"/>
      <c r="X82" s="521"/>
      <c r="Y82" s="521"/>
      <c r="Z82" s="521"/>
      <c r="AA82" s="521"/>
      <c r="AB82" s="521"/>
      <c r="AC82" s="518"/>
      <c r="AD82" s="518"/>
      <c r="AE82" s="518"/>
      <c r="AF82" s="521"/>
      <c r="AG82" s="521"/>
      <c r="AH82" s="521"/>
      <c r="AI82" s="521"/>
      <c r="AJ82" s="521"/>
      <c r="AK82" s="521"/>
      <c r="AL82" s="521"/>
      <c r="AM82" s="521"/>
      <c r="AN82" s="518"/>
      <c r="AO82" s="518"/>
      <c r="AP82" s="518"/>
      <c r="AQ82" s="518"/>
    </row>
    <row r="83" spans="1:43">
      <c r="A83" s="518"/>
      <c r="B83" s="518"/>
      <c r="C83" s="519"/>
      <c r="D83" s="518"/>
      <c r="E83" s="539"/>
      <c r="F83" s="518"/>
      <c r="G83" s="518"/>
      <c r="H83" s="519"/>
      <c r="I83" s="518"/>
      <c r="J83" s="520"/>
      <c r="K83" s="518"/>
      <c r="L83" s="518"/>
      <c r="M83" s="518"/>
      <c r="N83" s="518"/>
      <c r="O83" s="518"/>
      <c r="P83" s="518"/>
      <c r="Q83" s="518"/>
      <c r="R83" s="518"/>
      <c r="S83" s="518"/>
      <c r="T83" s="518"/>
      <c r="U83" s="518"/>
      <c r="V83" s="518"/>
      <c r="W83" s="518"/>
      <c r="X83" s="518"/>
      <c r="Y83" s="518"/>
      <c r="Z83" s="518"/>
      <c r="AA83" s="518"/>
      <c r="AB83" s="518"/>
      <c r="AC83" s="518"/>
      <c r="AD83" s="518"/>
      <c r="AE83" s="518"/>
      <c r="AF83" s="518"/>
      <c r="AG83" s="518"/>
      <c r="AH83" s="518"/>
      <c r="AI83" s="518"/>
      <c r="AJ83" s="518"/>
      <c r="AK83" s="518"/>
      <c r="AL83" s="518"/>
      <c r="AM83" s="518"/>
      <c r="AN83" s="518"/>
      <c r="AO83" s="518"/>
      <c r="AP83" s="518"/>
      <c r="AQ83" s="518"/>
    </row>
    <row r="84" spans="1:43">
      <c r="A84" s="518"/>
      <c r="B84" s="518"/>
      <c r="C84" s="519"/>
      <c r="D84" s="518"/>
      <c r="E84" s="520"/>
      <c r="F84" s="518"/>
      <c r="G84" s="518"/>
      <c r="H84" s="519"/>
      <c r="I84" s="518"/>
      <c r="J84" s="520"/>
      <c r="K84" s="518"/>
      <c r="L84" s="518"/>
      <c r="M84" s="518"/>
      <c r="N84" s="518"/>
      <c r="O84" s="518"/>
      <c r="P84" s="518"/>
      <c r="Q84" s="518"/>
      <c r="R84" s="518"/>
      <c r="S84" s="518"/>
      <c r="T84" s="518"/>
      <c r="U84" s="518"/>
      <c r="V84" s="518"/>
      <c r="W84" s="518"/>
      <c r="X84" s="518"/>
      <c r="Y84" s="518"/>
      <c r="Z84" s="518"/>
      <c r="AA84" s="518"/>
      <c r="AB84" s="518"/>
      <c r="AC84" s="518"/>
      <c r="AD84" s="518"/>
      <c r="AE84" s="518"/>
      <c r="AF84" s="518"/>
      <c r="AG84" s="518"/>
      <c r="AH84" s="518"/>
      <c r="AI84" s="518"/>
      <c r="AJ84" s="518"/>
      <c r="AK84" s="518"/>
      <c r="AL84" s="518"/>
      <c r="AM84" s="518"/>
      <c r="AN84" s="518"/>
      <c r="AO84" s="518"/>
      <c r="AP84" s="518"/>
      <c r="AQ84" s="518"/>
    </row>
    <row r="85" spans="1:43" s="251" customFormat="1">
      <c r="A85" s="540"/>
      <c r="B85" s="541" t="s">
        <v>352</v>
      </c>
      <c r="C85" s="540"/>
      <c r="D85" s="540"/>
      <c r="E85" s="540"/>
      <c r="F85" s="540"/>
      <c r="G85" s="540"/>
      <c r="H85" s="540"/>
      <c r="I85" s="540"/>
      <c r="J85" s="540"/>
      <c r="K85" s="540"/>
      <c r="L85" s="540"/>
      <c r="M85" s="540"/>
      <c r="N85" s="540"/>
      <c r="O85" s="540"/>
      <c r="P85" s="540"/>
      <c r="Q85" s="540"/>
      <c r="R85" s="540"/>
      <c r="S85" s="540"/>
      <c r="T85" s="540"/>
      <c r="U85" s="540"/>
      <c r="V85" s="540"/>
      <c r="W85" s="540"/>
      <c r="X85" s="540"/>
      <c r="Y85" s="540"/>
      <c r="Z85" s="540"/>
      <c r="AA85" s="540"/>
      <c r="AB85" s="540"/>
      <c r="AC85" s="540"/>
      <c r="AD85" s="540"/>
      <c r="AE85" s="540"/>
      <c r="AF85" s="540"/>
      <c r="AG85" s="540"/>
      <c r="AH85" s="540"/>
      <c r="AI85" s="540"/>
      <c r="AJ85" s="540"/>
      <c r="AK85" s="540"/>
      <c r="AL85" s="540"/>
      <c r="AM85" s="540"/>
      <c r="AN85" s="540"/>
      <c r="AO85" s="540"/>
      <c r="AP85" s="540"/>
      <c r="AQ85" s="540"/>
    </row>
    <row r="86" spans="1:43" s="252" customFormat="1">
      <c r="A86" s="542"/>
      <c r="B86" s="542"/>
      <c r="C86" s="543"/>
      <c r="D86" s="542"/>
      <c r="E86" s="544"/>
      <c r="F86" s="542"/>
      <c r="G86" s="542"/>
      <c r="H86" s="543"/>
      <c r="I86" s="542"/>
      <c r="J86" s="544"/>
      <c r="K86" s="542"/>
      <c r="L86" s="542"/>
      <c r="M86" s="542"/>
      <c r="N86" s="542"/>
      <c r="O86" s="542"/>
      <c r="P86" s="542"/>
      <c r="Q86" s="542"/>
      <c r="R86" s="542"/>
      <c r="S86" s="542"/>
      <c r="T86" s="542"/>
      <c r="U86" s="542"/>
      <c r="V86" s="542"/>
      <c r="W86" s="542"/>
      <c r="X86" s="542"/>
      <c r="Y86" s="542"/>
      <c r="Z86" s="542"/>
      <c r="AA86" s="542"/>
      <c r="AB86" s="542"/>
      <c r="AC86" s="542"/>
      <c r="AD86" s="542"/>
      <c r="AE86" s="542"/>
      <c r="AF86" s="542"/>
      <c r="AG86" s="542"/>
      <c r="AH86" s="542"/>
      <c r="AI86" s="542"/>
      <c r="AJ86" s="542"/>
      <c r="AK86" s="542"/>
      <c r="AL86" s="542"/>
      <c r="AM86" s="542"/>
      <c r="AN86" s="542"/>
      <c r="AO86" s="542"/>
      <c r="AP86" s="542"/>
      <c r="AQ86" s="542"/>
    </row>
    <row r="87" spans="1:43" s="253" customFormat="1">
      <c r="A87" s="545"/>
      <c r="B87" s="546" t="s">
        <v>353</v>
      </c>
      <c r="C87" s="547"/>
      <c r="D87" s="545"/>
      <c r="E87" s="548"/>
      <c r="F87" s="549"/>
      <c r="G87" s="545"/>
      <c r="H87" s="547"/>
      <c r="I87" s="545"/>
      <c r="J87" s="548"/>
      <c r="K87" s="545"/>
      <c r="L87" s="545"/>
      <c r="M87" s="545"/>
      <c r="N87" s="545"/>
      <c r="O87" s="545"/>
      <c r="P87" s="545"/>
      <c r="Q87" s="545"/>
      <c r="R87" s="545"/>
      <c r="S87" s="545"/>
      <c r="T87" s="545"/>
      <c r="U87" s="545"/>
      <c r="V87" s="545"/>
      <c r="W87" s="545"/>
      <c r="X87" s="545"/>
      <c r="Y87" s="545"/>
      <c r="Z87" s="545"/>
      <c r="AA87" s="545"/>
      <c r="AB87" s="545"/>
      <c r="AC87" s="545"/>
      <c r="AD87" s="545"/>
      <c r="AE87" s="545"/>
      <c r="AF87" s="545"/>
      <c r="AG87" s="545"/>
      <c r="AH87" s="545"/>
      <c r="AI87" s="545"/>
      <c r="AJ87" s="545"/>
      <c r="AK87" s="545"/>
      <c r="AL87" s="545"/>
      <c r="AM87" s="545"/>
      <c r="AN87" s="545"/>
      <c r="AO87" s="545"/>
      <c r="AP87" s="545"/>
      <c r="AQ87" s="545"/>
    </row>
    <row r="88" spans="1:43" s="254" customFormat="1" ht="28.35" customHeight="1">
      <c r="A88" s="550"/>
      <c r="B88" s="550" t="s">
        <v>354</v>
      </c>
      <c r="C88" s="551"/>
      <c r="D88" s="550"/>
      <c r="E88" s="552"/>
      <c r="F88" s="550"/>
      <c r="G88" s="550"/>
      <c r="H88" s="551"/>
      <c r="I88" s="550"/>
      <c r="J88" s="552"/>
      <c r="K88" s="550"/>
      <c r="L88" s="550"/>
      <c r="M88" s="550"/>
      <c r="N88" s="550"/>
      <c r="O88" s="550"/>
      <c r="P88" s="550"/>
      <c r="Q88" s="550"/>
      <c r="R88" s="550"/>
      <c r="S88" s="550"/>
      <c r="T88" s="550"/>
      <c r="U88" s="550"/>
      <c r="V88" s="550"/>
      <c r="W88" s="550"/>
      <c r="X88" s="550"/>
      <c r="Y88" s="550"/>
      <c r="Z88" s="550"/>
      <c r="AA88" s="550"/>
      <c r="AB88" s="550"/>
      <c r="AC88" s="550"/>
      <c r="AD88" s="550"/>
      <c r="AE88" s="550"/>
      <c r="AF88" s="550"/>
      <c r="AG88" s="550"/>
      <c r="AH88" s="550"/>
      <c r="AI88" s="550"/>
      <c r="AJ88" s="550"/>
    </row>
    <row r="89" spans="1:43" s="253" customFormat="1">
      <c r="A89" s="545"/>
      <c r="B89" s="545"/>
      <c r="C89" s="547"/>
      <c r="D89" s="545"/>
      <c r="E89" s="548"/>
      <c r="F89" s="545"/>
      <c r="G89" s="545"/>
      <c r="H89" s="547"/>
      <c r="I89" s="545"/>
      <c r="J89" s="548"/>
      <c r="K89" s="545"/>
      <c r="L89" s="545"/>
      <c r="M89" s="545"/>
      <c r="N89" s="545"/>
      <c r="O89" s="545"/>
      <c r="P89" s="545"/>
      <c r="Q89" s="545"/>
      <c r="R89" s="545"/>
      <c r="S89" s="545"/>
      <c r="T89" s="545"/>
      <c r="U89" s="545"/>
      <c r="V89" s="545"/>
      <c r="W89" s="545"/>
      <c r="X89" s="545"/>
      <c r="Y89" s="545"/>
      <c r="Z89" s="545"/>
      <c r="AA89" s="545"/>
      <c r="AB89" s="545"/>
      <c r="AC89" s="545"/>
      <c r="AD89" s="545"/>
      <c r="AE89" s="545"/>
      <c r="AF89" s="545"/>
      <c r="AG89" s="545"/>
      <c r="AH89" s="545"/>
      <c r="AI89" s="545"/>
      <c r="AJ89" s="545"/>
    </row>
    <row r="90" spans="1:43" s="255" customFormat="1">
      <c r="A90" s="553"/>
      <c r="B90" s="1186" t="s">
        <v>355</v>
      </c>
      <c r="C90" s="1186"/>
      <c r="D90" s="1186"/>
      <c r="E90" s="1186"/>
      <c r="F90" s="1186"/>
      <c r="G90" s="1186"/>
      <c r="H90" s="1186"/>
      <c r="I90" s="1186"/>
      <c r="J90" s="1186"/>
      <c r="K90" s="553"/>
      <c r="L90" s="553"/>
      <c r="M90" s="553"/>
      <c r="N90" s="553"/>
      <c r="O90" s="553"/>
      <c r="P90" s="553"/>
      <c r="Q90" s="553"/>
      <c r="R90" s="553"/>
      <c r="S90" s="553"/>
      <c r="T90" s="553"/>
      <c r="U90" s="553"/>
      <c r="V90" s="553"/>
      <c r="W90" s="553"/>
      <c r="X90" s="553"/>
      <c r="Y90" s="553"/>
      <c r="Z90" s="553"/>
      <c r="AA90" s="553"/>
      <c r="AB90" s="553"/>
      <c r="AC90" s="553"/>
      <c r="AD90" s="553"/>
      <c r="AE90" s="553"/>
      <c r="AF90" s="553"/>
      <c r="AG90" s="553"/>
      <c r="AH90" s="553"/>
      <c r="AI90" s="553"/>
      <c r="AJ90" s="553"/>
    </row>
    <row r="91" spans="1:43" s="255" customFormat="1">
      <c r="A91" s="553"/>
      <c r="B91" s="554"/>
      <c r="C91" s="555"/>
      <c r="D91" s="554"/>
      <c r="E91" s="556"/>
      <c r="F91" s="554"/>
      <c r="G91" s="553"/>
      <c r="H91" s="547"/>
      <c r="I91" s="553"/>
      <c r="J91" s="557"/>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row>
    <row r="92" spans="1:43" s="252" customFormat="1" ht="27" customHeight="1">
      <c r="A92" s="542"/>
      <c r="B92" s="558" t="s">
        <v>143</v>
      </c>
      <c r="C92" s="1187" t="s">
        <v>356</v>
      </c>
      <c r="D92" s="1187"/>
      <c r="E92" s="1187"/>
      <c r="F92" s="1187"/>
      <c r="G92" s="1187"/>
      <c r="H92" s="1187"/>
      <c r="I92" s="1187"/>
      <c r="J92" s="1187"/>
      <c r="K92" s="559"/>
      <c r="L92" s="542"/>
      <c r="M92" s="542"/>
      <c r="N92" s="542"/>
      <c r="O92" s="542"/>
      <c r="P92" s="542"/>
      <c r="Q92" s="542"/>
      <c r="R92" s="542"/>
      <c r="S92" s="542"/>
      <c r="T92" s="542"/>
      <c r="U92" s="559"/>
      <c r="V92" s="542"/>
      <c r="W92" s="542"/>
      <c r="X92" s="542"/>
      <c r="Y92" s="542"/>
      <c r="Z92" s="542"/>
      <c r="AA92" s="542"/>
      <c r="AB92" s="542"/>
      <c r="AC92" s="542"/>
      <c r="AD92" s="542"/>
      <c r="AE92" s="542"/>
      <c r="AF92" s="559"/>
      <c r="AG92" s="542"/>
      <c r="AH92" s="542"/>
      <c r="AI92" s="542"/>
      <c r="AJ92" s="542"/>
    </row>
    <row r="93" spans="1:43" s="252" customFormat="1">
      <c r="A93" s="542"/>
      <c r="B93" s="558" t="s">
        <v>143</v>
      </c>
      <c r="C93" s="1187" t="s">
        <v>357</v>
      </c>
      <c r="D93" s="1187"/>
      <c r="E93" s="1187"/>
      <c r="F93" s="1187"/>
      <c r="G93" s="1187"/>
      <c r="H93" s="1187"/>
      <c r="I93" s="1187"/>
      <c r="J93" s="1187"/>
      <c r="K93" s="560"/>
      <c r="L93" s="542"/>
      <c r="M93" s="542"/>
      <c r="N93" s="542"/>
      <c r="O93" s="542"/>
      <c r="P93" s="542"/>
      <c r="Q93" s="542"/>
      <c r="R93" s="542"/>
      <c r="S93" s="542"/>
      <c r="T93" s="542"/>
      <c r="U93" s="560"/>
      <c r="V93" s="542"/>
      <c r="W93" s="542"/>
      <c r="X93" s="542"/>
      <c r="Y93" s="542"/>
      <c r="Z93" s="542"/>
      <c r="AA93" s="542"/>
      <c r="AB93" s="542"/>
      <c r="AC93" s="542"/>
      <c r="AD93" s="542"/>
      <c r="AE93" s="542"/>
      <c r="AF93" s="560"/>
      <c r="AG93" s="542"/>
      <c r="AH93" s="542"/>
      <c r="AI93" s="542"/>
      <c r="AJ93" s="542"/>
    </row>
    <row r="94" spans="1:43" s="256" customFormat="1">
      <c r="A94" s="542"/>
      <c r="B94" s="542"/>
      <c r="C94" s="1564"/>
      <c r="D94" s="1564"/>
      <c r="E94" s="1564"/>
      <c r="F94" s="1564"/>
      <c r="G94" s="1564"/>
      <c r="H94" s="1564"/>
      <c r="I94" s="1564"/>
      <c r="J94" s="1564"/>
      <c r="K94" s="542"/>
      <c r="L94" s="542"/>
      <c r="M94" s="542"/>
      <c r="N94" s="542"/>
      <c r="O94" s="542"/>
      <c r="P94" s="542"/>
      <c r="Q94" s="542"/>
      <c r="R94" s="542"/>
      <c r="S94" s="542"/>
      <c r="T94" s="542"/>
      <c r="U94" s="542"/>
      <c r="V94" s="542"/>
      <c r="W94" s="542"/>
      <c r="X94" s="542"/>
      <c r="Y94" s="542"/>
      <c r="Z94" s="542"/>
      <c r="AA94" s="542"/>
      <c r="AB94" s="542"/>
      <c r="AC94" s="542"/>
      <c r="AD94" s="542"/>
      <c r="AE94" s="542"/>
      <c r="AF94" s="542"/>
      <c r="AG94" s="542"/>
      <c r="AH94" s="542"/>
      <c r="AI94" s="542"/>
      <c r="AJ94" s="542"/>
    </row>
    <row r="95" spans="1:43" s="256" customFormat="1">
      <c r="A95" s="542"/>
      <c r="B95" s="542"/>
      <c r="C95" s="542"/>
      <c r="D95" s="542"/>
      <c r="E95" s="542"/>
      <c r="F95" s="542"/>
      <c r="G95" s="542"/>
      <c r="H95" s="542"/>
      <c r="I95" s="542"/>
      <c r="J95" s="542"/>
      <c r="K95" s="542"/>
      <c r="L95" s="542"/>
      <c r="M95" s="542"/>
      <c r="N95" s="542"/>
      <c r="O95" s="542"/>
      <c r="P95" s="542"/>
      <c r="Q95" s="542"/>
      <c r="R95" s="542"/>
      <c r="S95" s="542"/>
      <c r="T95" s="542"/>
      <c r="U95" s="542"/>
      <c r="V95" s="542"/>
      <c r="W95" s="542"/>
      <c r="X95" s="542"/>
      <c r="Y95" s="542"/>
      <c r="Z95" s="542"/>
      <c r="AA95" s="542"/>
      <c r="AB95" s="542"/>
      <c r="AC95" s="542"/>
      <c r="AD95" s="542"/>
      <c r="AE95" s="542"/>
      <c r="AF95" s="542"/>
      <c r="AG95" s="542"/>
      <c r="AH95" s="542"/>
      <c r="AI95" s="542"/>
      <c r="AJ95" s="542"/>
    </row>
    <row r="96" spans="1:43" s="256" customFormat="1" ht="268.5" customHeight="1">
      <c r="A96" s="542"/>
      <c r="B96" s="1564"/>
      <c r="C96" s="1564"/>
      <c r="D96" s="1564"/>
      <c r="E96" s="1564"/>
      <c r="F96" s="1564"/>
      <c r="G96" s="1564"/>
      <c r="H96" s="1564"/>
      <c r="I96" s="1564"/>
      <c r="J96" s="1564"/>
      <c r="K96" s="542"/>
      <c r="L96" s="542"/>
      <c r="M96" s="542"/>
      <c r="N96" s="542"/>
      <c r="O96" s="542"/>
      <c r="P96" s="542"/>
      <c r="Q96" s="542"/>
      <c r="R96" s="542"/>
      <c r="S96" s="542"/>
      <c r="T96" s="542"/>
      <c r="U96" s="542"/>
      <c r="V96" s="542"/>
      <c r="W96" s="542"/>
      <c r="X96" s="542"/>
      <c r="Y96" s="542"/>
      <c r="Z96" s="542"/>
      <c r="AA96" s="542"/>
      <c r="AB96" s="542"/>
      <c r="AC96" s="542"/>
      <c r="AD96" s="542"/>
      <c r="AE96" s="542"/>
      <c r="AF96" s="542"/>
      <c r="AG96" s="542"/>
      <c r="AH96" s="542"/>
      <c r="AI96" s="542"/>
      <c r="AJ96" s="542"/>
    </row>
    <row r="97" spans="1:36" s="256" customFormat="1">
      <c r="A97" s="542"/>
      <c r="B97" s="542"/>
      <c r="C97" s="542"/>
      <c r="D97" s="542"/>
      <c r="E97" s="542"/>
      <c r="F97" s="542"/>
      <c r="G97" s="542"/>
      <c r="H97" s="542"/>
      <c r="I97" s="542"/>
      <c r="J97" s="542"/>
      <c r="K97" s="542"/>
      <c r="L97" s="542"/>
      <c r="M97" s="542"/>
      <c r="N97" s="542"/>
      <c r="O97" s="542"/>
      <c r="P97" s="542"/>
      <c r="Q97" s="542"/>
      <c r="R97" s="542"/>
      <c r="S97" s="542"/>
      <c r="T97" s="542"/>
      <c r="U97" s="542"/>
      <c r="V97" s="542"/>
      <c r="W97" s="542"/>
      <c r="X97" s="542"/>
      <c r="Y97" s="542"/>
      <c r="Z97" s="542"/>
      <c r="AA97" s="542"/>
      <c r="AB97" s="542"/>
      <c r="AC97" s="542"/>
      <c r="AD97" s="542"/>
      <c r="AE97" s="542"/>
      <c r="AF97" s="542"/>
      <c r="AG97" s="542"/>
      <c r="AH97" s="542"/>
      <c r="AI97" s="542"/>
      <c r="AJ97" s="542"/>
    </row>
    <row r="98" spans="1:36" s="256" customFormat="1" ht="260.10000000000002" customHeight="1">
      <c r="A98" s="542"/>
      <c r="B98" s="1564"/>
      <c r="C98" s="1564"/>
      <c r="D98" s="1564"/>
      <c r="E98" s="1564"/>
      <c r="F98" s="1564"/>
      <c r="G98" s="1564"/>
      <c r="H98" s="1564"/>
      <c r="I98" s="1564"/>
      <c r="J98" s="1564"/>
      <c r="K98" s="542"/>
      <c r="L98" s="542"/>
      <c r="M98" s="542"/>
      <c r="N98" s="542"/>
      <c r="O98" s="542"/>
      <c r="P98" s="542"/>
      <c r="Q98" s="542"/>
      <c r="R98" s="542"/>
      <c r="S98" s="542"/>
      <c r="T98" s="542"/>
      <c r="U98" s="542"/>
      <c r="V98" s="542"/>
      <c r="W98" s="542"/>
      <c r="X98" s="542"/>
      <c r="Y98" s="542"/>
      <c r="Z98" s="542"/>
      <c r="AA98" s="542"/>
      <c r="AB98" s="542"/>
      <c r="AC98" s="542"/>
      <c r="AD98" s="542"/>
      <c r="AE98" s="542"/>
      <c r="AF98" s="542"/>
      <c r="AG98" s="542"/>
      <c r="AH98" s="542"/>
      <c r="AI98" s="542"/>
      <c r="AJ98" s="542"/>
    </row>
    <row r="99" spans="1:36" s="256" customFormat="1">
      <c r="B99" s="542"/>
      <c r="C99" s="542"/>
      <c r="D99" s="542"/>
      <c r="E99" s="542"/>
      <c r="F99" s="542"/>
      <c r="G99" s="542"/>
      <c r="H99" s="542"/>
      <c r="I99" s="542"/>
      <c r="J99" s="542"/>
      <c r="K99" s="542"/>
      <c r="L99" s="542"/>
    </row>
    <row r="100" spans="1:36" s="256" customFormat="1">
      <c r="B100" s="542"/>
      <c r="C100" s="542"/>
      <c r="D100" s="542"/>
      <c r="E100" s="542"/>
      <c r="F100" s="542"/>
      <c r="G100" s="542"/>
      <c r="H100" s="542"/>
      <c r="I100" s="542"/>
      <c r="J100" s="542"/>
      <c r="K100" s="542"/>
      <c r="L100" s="542"/>
    </row>
    <row r="101" spans="1:36" s="256" customFormat="1">
      <c r="B101" s="542" t="s">
        <v>358</v>
      </c>
      <c r="C101" s="542"/>
      <c r="D101" s="542"/>
      <c r="E101" s="542"/>
      <c r="F101" s="542"/>
      <c r="G101" s="542"/>
      <c r="H101" s="542"/>
      <c r="I101" s="542"/>
      <c r="J101" s="542"/>
      <c r="K101" s="542"/>
      <c r="L101" s="542"/>
    </row>
    <row r="102" spans="1:36" s="256" customFormat="1">
      <c r="B102" s="542"/>
      <c r="C102" s="542"/>
      <c r="D102" s="542"/>
      <c r="E102" s="542"/>
      <c r="F102" s="542"/>
      <c r="G102" s="542"/>
      <c r="H102" s="542"/>
      <c r="I102" s="542"/>
      <c r="J102" s="542"/>
      <c r="K102" s="542"/>
      <c r="L102" s="542"/>
    </row>
    <row r="103" spans="1:36" s="256" customFormat="1">
      <c r="B103" s="1564" t="s">
        <v>359</v>
      </c>
      <c r="C103" s="1564"/>
      <c r="D103" s="1564"/>
      <c r="E103" s="1564"/>
      <c r="F103" s="1564"/>
      <c r="G103" s="1564"/>
      <c r="H103" s="1564"/>
      <c r="I103" s="1564"/>
      <c r="J103" s="1564"/>
      <c r="K103" s="542"/>
      <c r="L103" s="542"/>
    </row>
    <row r="104" spans="1:36" s="256" customFormat="1">
      <c r="B104" s="542"/>
      <c r="C104" s="542"/>
      <c r="D104" s="542"/>
      <c r="E104" s="542"/>
      <c r="F104" s="542"/>
      <c r="G104" s="542"/>
      <c r="H104" s="542"/>
      <c r="I104" s="542"/>
      <c r="J104" s="542"/>
      <c r="K104" s="542"/>
      <c r="L104" s="542"/>
    </row>
    <row r="105" spans="1:36" s="256" customFormat="1">
      <c r="B105" s="542" t="s">
        <v>143</v>
      </c>
      <c r="C105" s="1564" t="s">
        <v>360</v>
      </c>
      <c r="D105" s="1564"/>
      <c r="E105" s="1564"/>
      <c r="F105" s="1564"/>
      <c r="G105" s="1564"/>
      <c r="H105" s="1564"/>
      <c r="I105" s="1564"/>
      <c r="J105" s="1564"/>
      <c r="K105" s="542"/>
      <c r="L105" s="542"/>
    </row>
    <row r="106" spans="1:36" s="256" customFormat="1">
      <c r="B106" s="542" t="s">
        <v>143</v>
      </c>
      <c r="C106" s="1564" t="s">
        <v>361</v>
      </c>
      <c r="D106" s="1564"/>
      <c r="E106" s="1564"/>
      <c r="F106" s="1564"/>
      <c r="G106" s="1564"/>
      <c r="H106" s="1564"/>
      <c r="I106" s="1564"/>
      <c r="J106" s="1564"/>
      <c r="K106" s="542"/>
      <c r="L106" s="542"/>
    </row>
    <row r="107" spans="1:36" s="256" customFormat="1">
      <c r="B107" s="542"/>
      <c r="C107" s="1564"/>
      <c r="D107" s="1564"/>
      <c r="E107" s="1564"/>
      <c r="F107" s="1564"/>
      <c r="G107" s="1564"/>
      <c r="H107" s="1564"/>
      <c r="I107" s="1564"/>
      <c r="J107" s="1564"/>
      <c r="K107" s="542"/>
      <c r="L107" s="542"/>
    </row>
    <row r="108" spans="1:36" s="256" customFormat="1">
      <c r="B108" s="542"/>
      <c r="C108" s="542"/>
      <c r="D108" s="542"/>
      <c r="E108" s="542"/>
      <c r="F108" s="542"/>
      <c r="G108" s="542"/>
      <c r="H108" s="542"/>
      <c r="I108" s="542"/>
      <c r="J108" s="542"/>
      <c r="K108" s="542"/>
      <c r="L108" s="542"/>
      <c r="M108" s="256" t="s">
        <v>362</v>
      </c>
      <c r="W108" s="256" t="s">
        <v>362</v>
      </c>
      <c r="AH108" s="256" t="s">
        <v>362</v>
      </c>
    </row>
    <row r="109" spans="1:36" s="256" customFormat="1">
      <c r="B109" s="1564"/>
      <c r="C109" s="1564"/>
      <c r="D109" s="1564"/>
      <c r="E109" s="1564"/>
      <c r="F109" s="1564"/>
      <c r="G109" s="1564"/>
      <c r="H109" s="1564"/>
      <c r="I109" s="1564"/>
      <c r="J109" s="1564"/>
      <c r="K109" s="542"/>
      <c r="L109" s="542"/>
    </row>
    <row r="110" spans="1:36" s="256" customFormat="1">
      <c r="B110" s="542"/>
      <c r="C110" s="542"/>
      <c r="D110" s="542"/>
      <c r="E110" s="542"/>
      <c r="F110" s="542"/>
      <c r="G110" s="542"/>
      <c r="H110" s="542"/>
      <c r="I110" s="542"/>
      <c r="J110" s="542"/>
      <c r="K110" s="542"/>
      <c r="L110" s="542"/>
    </row>
    <row r="111" spans="1:36" s="256" customFormat="1">
      <c r="B111" s="542"/>
      <c r="C111" s="542"/>
      <c r="D111" s="542"/>
      <c r="E111" s="542"/>
      <c r="F111" s="542"/>
      <c r="G111" s="542"/>
      <c r="H111" s="542"/>
      <c r="I111" s="542"/>
      <c r="J111" s="542"/>
      <c r="K111" s="542"/>
      <c r="L111" s="542"/>
    </row>
    <row r="112" spans="1:36" s="256" customFormat="1">
      <c r="B112" s="542"/>
      <c r="C112" s="542"/>
      <c r="D112" s="542"/>
      <c r="E112" s="542"/>
      <c r="F112" s="542"/>
      <c r="G112" s="542"/>
      <c r="H112" s="542"/>
      <c r="I112" s="542"/>
      <c r="J112" s="542"/>
      <c r="K112" s="542"/>
      <c r="L112" s="542"/>
    </row>
    <row r="113" spans="2:12" s="256" customFormat="1">
      <c r="B113" s="542"/>
      <c r="C113" s="542"/>
      <c r="D113" s="542"/>
      <c r="E113" s="542"/>
      <c r="F113" s="542"/>
      <c r="G113" s="542"/>
      <c r="H113" s="542"/>
      <c r="I113" s="542"/>
      <c r="J113" s="542"/>
      <c r="K113" s="542"/>
      <c r="L113" s="542"/>
    </row>
    <row r="114" spans="2:12" s="252" customFormat="1">
      <c r="B114" s="542"/>
      <c r="C114" s="543"/>
      <c r="D114" s="542"/>
      <c r="E114" s="544"/>
      <c r="F114" s="542"/>
      <c r="G114" s="542"/>
      <c r="H114" s="543"/>
      <c r="I114" s="542"/>
      <c r="J114" s="544"/>
      <c r="K114" s="542"/>
      <c r="L114" s="542"/>
    </row>
    <row r="115" spans="2:12" s="252" customFormat="1">
      <c r="B115" s="542"/>
      <c r="C115" s="543"/>
      <c r="D115" s="542"/>
      <c r="E115" s="544"/>
      <c r="F115" s="542"/>
      <c r="G115" s="542"/>
      <c r="H115" s="543"/>
      <c r="I115" s="542"/>
      <c r="J115" s="544"/>
      <c r="K115" s="542"/>
      <c r="L115" s="542"/>
    </row>
    <row r="116" spans="2:12" s="252" customFormat="1">
      <c r="B116" s="542"/>
      <c r="C116" s="543"/>
      <c r="D116" s="542"/>
      <c r="E116" s="544"/>
      <c r="F116" s="542"/>
      <c r="G116" s="542"/>
      <c r="H116" s="543"/>
      <c r="I116" s="542"/>
      <c r="J116" s="544"/>
      <c r="K116" s="542"/>
      <c r="L116" s="542"/>
    </row>
    <row r="117" spans="2:12" s="252" customFormat="1">
      <c r="B117" s="542"/>
      <c r="C117" s="543"/>
      <c r="D117" s="542"/>
      <c r="E117" s="544"/>
      <c r="F117" s="542"/>
      <c r="G117" s="542"/>
      <c r="H117" s="543"/>
      <c r="I117" s="542"/>
      <c r="J117" s="544"/>
      <c r="K117" s="542"/>
      <c r="L117" s="542"/>
    </row>
    <row r="118" spans="2:12" s="252" customFormat="1">
      <c r="B118" s="542"/>
      <c r="C118" s="543"/>
      <c r="D118" s="542"/>
      <c r="E118" s="544"/>
      <c r="F118" s="542"/>
      <c r="G118" s="542"/>
      <c r="H118" s="543"/>
      <c r="I118" s="542"/>
      <c r="J118" s="544"/>
      <c r="K118" s="542"/>
      <c r="L118" s="542"/>
    </row>
    <row r="119" spans="2:12" s="252" customFormat="1">
      <c r="B119" s="542"/>
      <c r="C119" s="543"/>
      <c r="D119" s="542"/>
      <c r="E119" s="544"/>
      <c r="F119" s="542"/>
      <c r="G119" s="542"/>
      <c r="H119" s="543"/>
      <c r="I119" s="542"/>
      <c r="J119" s="544"/>
      <c r="K119" s="542"/>
      <c r="L119" s="542"/>
    </row>
    <row r="120" spans="2:12" s="252" customFormat="1">
      <c r="B120" s="542"/>
      <c r="C120" s="543"/>
      <c r="D120" s="542"/>
      <c r="E120" s="544"/>
      <c r="F120" s="542"/>
      <c r="G120" s="542"/>
      <c r="H120" s="543"/>
      <c r="I120" s="542"/>
      <c r="J120" s="544"/>
      <c r="K120" s="542"/>
      <c r="L120" s="542"/>
    </row>
    <row r="121" spans="2:12" s="252" customFormat="1">
      <c r="B121" s="542"/>
      <c r="C121" s="543"/>
      <c r="D121" s="542"/>
      <c r="E121" s="544"/>
      <c r="F121" s="542"/>
      <c r="G121" s="542"/>
      <c r="H121" s="543"/>
      <c r="I121" s="542"/>
      <c r="J121" s="544"/>
      <c r="K121" s="542"/>
      <c r="L121" s="542"/>
    </row>
    <row r="122" spans="2:12" s="252" customFormat="1">
      <c r="B122" s="542"/>
      <c r="C122" s="543"/>
      <c r="D122" s="542"/>
      <c r="E122" s="544"/>
      <c r="F122" s="542"/>
      <c r="G122" s="542"/>
      <c r="H122" s="543"/>
      <c r="I122" s="542"/>
      <c r="J122" s="544"/>
      <c r="K122" s="542"/>
      <c r="L122" s="542"/>
    </row>
    <row r="123" spans="2:12" s="252" customFormat="1">
      <c r="B123" s="542"/>
      <c r="C123" s="543"/>
      <c r="D123" s="542"/>
      <c r="E123" s="544"/>
      <c r="F123" s="542"/>
      <c r="G123" s="542"/>
      <c r="H123" s="543"/>
      <c r="I123" s="542"/>
      <c r="J123" s="544"/>
      <c r="K123" s="542"/>
      <c r="L123" s="542"/>
    </row>
  </sheetData>
  <sheetProtection algorithmName="SHA-512" hashValue="kkUbqSjohWaiTpZmUlKC2rnfXZFZfp9T3zAMSWAg69bFi/372/YsZ+AUNdGztP/GfC3supIzkw1SgVYH1kcTOA==" saltValue="rZmYnd99cSstOemf5PaFCQ==" spinCount="100000" sheet="1" objects="1" scenarios="1"/>
  <dataConsolidate/>
  <mergeCells count="114">
    <mergeCell ref="D7:F7"/>
    <mergeCell ref="G7:J7"/>
    <mergeCell ref="G8:J8"/>
    <mergeCell ref="D9:F9"/>
    <mergeCell ref="N29:P29"/>
    <mergeCell ref="G9:J11"/>
    <mergeCell ref="D10:F10"/>
    <mergeCell ref="G13:J13"/>
    <mergeCell ref="K38:T38"/>
    <mergeCell ref="D29:F29"/>
    <mergeCell ref="B33:F33"/>
    <mergeCell ref="G33:T33"/>
    <mergeCell ref="B23:C23"/>
    <mergeCell ref="D23:F23"/>
    <mergeCell ref="L21:P21"/>
    <mergeCell ref="Q21:T21"/>
    <mergeCell ref="D12:F12"/>
    <mergeCell ref="G12:J12"/>
    <mergeCell ref="B14:C14"/>
    <mergeCell ref="D14:F14"/>
    <mergeCell ref="G14:J15"/>
    <mergeCell ref="B15:C15"/>
    <mergeCell ref="D15:F15"/>
    <mergeCell ref="B18:F18"/>
    <mergeCell ref="G23:J30"/>
    <mergeCell ref="L23:M23"/>
    <mergeCell ref="N23:P23"/>
    <mergeCell ref="Q23:T30"/>
    <mergeCell ref="D24:F28"/>
    <mergeCell ref="N24:P28"/>
    <mergeCell ref="B30:F30"/>
    <mergeCell ref="L30:P30"/>
    <mergeCell ref="K39:T39"/>
    <mergeCell ref="K40:T40"/>
    <mergeCell ref="G34:T37"/>
    <mergeCell ref="B39:D39"/>
    <mergeCell ref="E39:F39"/>
    <mergeCell ref="G39:J39"/>
    <mergeCell ref="B40:D40"/>
    <mergeCell ref="E40:F40"/>
    <mergeCell ref="G40:J40"/>
    <mergeCell ref="E36:F36"/>
    <mergeCell ref="B37:D37"/>
    <mergeCell ref="E37:F37"/>
    <mergeCell ref="B38:D38"/>
    <mergeCell ref="E38:F38"/>
    <mergeCell ref="G38:J38"/>
    <mergeCell ref="B34:D34"/>
    <mergeCell ref="E34:F34"/>
    <mergeCell ref="B35:D35"/>
    <mergeCell ref="E35:F35"/>
    <mergeCell ref="B36:D36"/>
    <mergeCell ref="AM23:AP30"/>
    <mergeCell ref="X24:AA28"/>
    <mergeCell ref="AI24:AL28"/>
    <mergeCell ref="V27:V28"/>
    <mergeCell ref="W27:W28"/>
    <mergeCell ref="V30:AA30"/>
    <mergeCell ref="AG30:AL30"/>
    <mergeCell ref="AG27:AG28"/>
    <mergeCell ref="AH27:AH28"/>
    <mergeCell ref="X29:AA29"/>
    <mergeCell ref="AI29:AL29"/>
    <mergeCell ref="V23:W23"/>
    <mergeCell ref="X23:AA23"/>
    <mergeCell ref="AB23:AE30"/>
    <mergeCell ref="AG23:AH23"/>
    <mergeCell ref="AI23:AL23"/>
    <mergeCell ref="V22:W22"/>
    <mergeCell ref="X22:AA22"/>
    <mergeCell ref="AB22:AE22"/>
    <mergeCell ref="AG22:AH22"/>
    <mergeCell ref="AI22:AL22"/>
    <mergeCell ref="AM22:AP22"/>
    <mergeCell ref="B22:C22"/>
    <mergeCell ref="D22:F22"/>
    <mergeCell ref="G22:J22"/>
    <mergeCell ref="L22:M22"/>
    <mergeCell ref="N22:P22"/>
    <mergeCell ref="Q22:T22"/>
    <mergeCell ref="V21:AA21"/>
    <mergeCell ref="AB21:AE21"/>
    <mergeCell ref="AG21:AL21"/>
    <mergeCell ref="AM21:AP21"/>
    <mergeCell ref="B19:C19"/>
    <mergeCell ref="D19:F19"/>
    <mergeCell ref="G19:H19"/>
    <mergeCell ref="I19:J19"/>
    <mergeCell ref="B21:F21"/>
    <mergeCell ref="G21:J21"/>
    <mergeCell ref="L3:S6"/>
    <mergeCell ref="L8:S11"/>
    <mergeCell ref="L13:S15"/>
    <mergeCell ref="L18:S19"/>
    <mergeCell ref="C105:J105"/>
    <mergeCell ref="C106:J106"/>
    <mergeCell ref="C107:J107"/>
    <mergeCell ref="B109:J109"/>
    <mergeCell ref="B90:J90"/>
    <mergeCell ref="C92:J92"/>
    <mergeCell ref="C93:J93"/>
    <mergeCell ref="C94:J94"/>
    <mergeCell ref="B96:J96"/>
    <mergeCell ref="B98:J98"/>
    <mergeCell ref="B8:F8"/>
    <mergeCell ref="G3:J3"/>
    <mergeCell ref="D4:F4"/>
    <mergeCell ref="G4:J6"/>
    <mergeCell ref="D5:F5"/>
    <mergeCell ref="D6:F6"/>
    <mergeCell ref="B3:F3"/>
    <mergeCell ref="B13:F13"/>
    <mergeCell ref="B103:J103"/>
    <mergeCell ref="B31:J31"/>
  </mergeCells>
  <phoneticPr fontId="17" type="noConversion"/>
  <conditionalFormatting sqref="G38:G40">
    <cfRule type="containsText" dxfId="295" priority="5" operator="containsText" text="No cumple">
      <formula>NOT(ISERROR(SEARCH("No cumple",G38)))</formula>
    </cfRule>
    <cfRule type="containsText" dxfId="294" priority="6" operator="containsText" text="Cumple">
      <formula>NOT(ISERROR(SEARCH("Cumple",G38)))</formula>
    </cfRule>
  </conditionalFormatting>
  <conditionalFormatting sqref="G21:J21">
    <cfRule type="containsText" dxfId="293" priority="3" operator="containsText" text="No aplica">
      <formula>NOT(ISERROR(SEARCH("No aplica",G21)))</formula>
    </cfRule>
    <cfRule type="containsText" dxfId="292" priority="4" operator="containsText" text="Aplica">
      <formula>NOT(ISERROR(SEARCH("Aplica",G21)))</formula>
    </cfRule>
  </conditionalFormatting>
  <conditionalFormatting sqref="Q21:T21 AB21:AE21 AM21:AP21">
    <cfRule type="containsText" dxfId="291" priority="1" operator="containsText" text="No aplica">
      <formula>NOT(ISERROR(SEARCH("No aplica",Q21)))</formula>
    </cfRule>
    <cfRule type="containsText" dxfId="290" priority="2" operator="containsText" text="Aplica">
      <formula>NOT(ISERROR(SEARCH("Aplica",Q21)))</formula>
    </cfRule>
  </conditionalFormatting>
  <dataValidations count="1">
    <dataValidation allowBlank="1" showInputMessage="1" showErrorMessage="1" promptTitle="Ingreso de datos" prompt="Ingrese un valor de 0% a 100%" sqref="E35:F35" xr:uid="{6B6C1158-1EB4-404D-A697-D13FDC471475}"/>
  </dataValidations>
  <pageMargins left="0.70866141732283472" right="0.70866141732283472" top="0.55118110236220474" bottom="0.55118110236220474" header="0.39370078740157483" footer="0.31496062992125984"/>
  <pageSetup orientation="portrait" horizontalDpi="300" r:id="rId1"/>
  <headerFooter differentFirst="1">
    <firstHeader>&amp;R&amp;G</firstHeader>
  </headerFooter>
  <drawing r:id="rId2"/>
  <legacyDrawing r:id="rId3"/>
  <legacyDrawingHF r:id="rId4"/>
  <extLst>
    <ext xmlns:x14="http://schemas.microsoft.com/office/spreadsheetml/2009/9/main" uri="{CCE6A557-97BC-4b89-ADB6-D9C93CAAB3DF}">
      <x14:dataValidations xmlns:xm="http://schemas.microsoft.com/office/excel/2006/main" count="8">
        <x14:dataValidation type="list" allowBlank="1" showInputMessage="1" showErrorMessage="1" xr:uid="{CCE422C0-0F21-4685-9818-C09FE9DF0B01}">
          <x14:formula1>
            <xm:f>'Formula limites'!$Y$1:$Y$5</xm:f>
          </x14:formula1>
          <xm:sqref>D19</xm:sqref>
        </x14:dataValidation>
        <x14:dataValidation type="list" allowBlank="1" showInputMessage="1" showErrorMessage="1" xr:uid="{BF453341-00A0-4E1B-9B2E-2928E2559ED9}">
          <x14:formula1>
            <xm:f>'Formula limites'!$V$2:$V$4</xm:f>
          </x14:formula1>
          <xm:sqref>E37:F37</xm:sqref>
        </x14:dataValidation>
        <x14:dataValidation type="list" allowBlank="1" showInputMessage="1" showErrorMessage="1" xr:uid="{C09EC1D6-98AA-4814-A3E9-F7187373EB2C}">
          <x14:formula1>
            <xm:f>'Formula limites'!$Q$28:$T$28</xm:f>
          </x14:formula1>
          <xm:sqref>D15</xm:sqref>
        </x14:dataValidation>
        <x14:dataValidation type="list" allowBlank="1" showInputMessage="1" showErrorMessage="1" xr:uid="{76CD554D-DF7A-49C9-93DE-E47B4B3372D2}">
          <x14:formula1>
            <xm:f>'Formula limites'!$J$29:$J$37</xm:f>
          </x14:formula1>
          <xm:sqref>F11</xm:sqref>
        </x14:dataValidation>
        <x14:dataValidation type="list" allowBlank="1" showInputMessage="1" showErrorMessage="1" xr:uid="{FDEFD781-5BFF-48BC-9C3B-D6414F859719}">
          <x14:formula1>
            <xm:f>'Formula limites'!$K$28:$M$28</xm:f>
          </x14:formula1>
          <xm:sqref>E11</xm:sqref>
        </x14:dataValidation>
        <x14:dataValidation type="list" allowBlank="1" showInputMessage="1" showErrorMessage="1" xr:uid="{FEF17347-65D6-4B7A-B4BB-CDE573378573}">
          <x14:formula1>
            <xm:f>'Formula limites'!$P$22:$P$23</xm:f>
          </x14:formula1>
          <xm:sqref>E34:F34</xm:sqref>
        </x14:dataValidation>
        <x14:dataValidation type="list" allowBlank="1" showInputMessage="1" showErrorMessage="1" xr:uid="{DCAD94D3-AE1D-4BB2-B804-BC6885557A82}">
          <x14:formula1>
            <xm:f>'Formula limites'!$O$29:$O$31</xm:f>
          </x14:formula1>
          <xm:sqref>D14</xm:sqref>
        </x14:dataValidation>
        <x14:dataValidation type="list" allowBlank="1" showInputMessage="1" showErrorMessage="1" xr:uid="{10FCC9B1-BAF7-4BBE-B2F7-94BB4E7E400C}">
          <x14:formula1>
            <xm:f>'Formula limites'!$BG$4:$BG$8</xm:f>
          </x14:formula1>
          <xm:sqref>AI23:AL23 N23:P23 X23:AA23 D23:F23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19C3D-5D26-44E9-9327-2168EDFDCE75}">
  <dimension ref="A1:BT55"/>
  <sheetViews>
    <sheetView topLeftCell="AS1" zoomScale="70" zoomScaleNormal="70" workbookViewId="0">
      <selection activeCell="BM20" sqref="BM20"/>
    </sheetView>
  </sheetViews>
  <sheetFormatPr defaultColWidth="11.5703125" defaultRowHeight="12.75"/>
  <cols>
    <col min="15" max="15" width="14.42578125" customWidth="1"/>
    <col min="24" max="24" width="14" customWidth="1"/>
    <col min="40" max="40" width="12.28515625" bestFit="1" customWidth="1"/>
    <col min="48" max="48" width="30.5703125" customWidth="1"/>
    <col min="58" max="58" width="17.7109375" customWidth="1"/>
    <col min="59" max="59" width="16.28515625" bestFit="1" customWidth="1"/>
    <col min="64" max="64" width="21.28515625" customWidth="1"/>
  </cols>
  <sheetData>
    <row r="1" spans="1:72" ht="12.75" customHeight="1">
      <c r="G1" t="s">
        <v>363</v>
      </c>
      <c r="H1" t="s">
        <v>364</v>
      </c>
      <c r="V1" t="s">
        <v>346</v>
      </c>
      <c r="X1" s="31" t="s">
        <v>365</v>
      </c>
      <c r="Y1" t="s">
        <v>315</v>
      </c>
      <c r="AB1" s="1314"/>
      <c r="AC1" s="1315"/>
      <c r="AD1" s="1315"/>
      <c r="AE1" s="1315"/>
      <c r="AF1" s="1315"/>
      <c r="AG1" s="1316"/>
      <c r="AH1" s="1314"/>
      <c r="AI1" s="1315"/>
      <c r="AJ1" s="1315"/>
      <c r="AK1" s="1316"/>
      <c r="AL1" s="1317" t="s">
        <v>366</v>
      </c>
      <c r="AM1" s="1318"/>
      <c r="AN1" s="1319"/>
      <c r="AO1" s="167" t="s">
        <v>367</v>
      </c>
      <c r="AP1" s="167"/>
      <c r="AQ1" s="168" t="s">
        <v>368</v>
      </c>
      <c r="AR1" s="168" t="s">
        <v>369</v>
      </c>
      <c r="AS1" s="168" t="s">
        <v>370</v>
      </c>
      <c r="AT1" s="168" t="s">
        <v>371</v>
      </c>
      <c r="AV1" s="1304"/>
      <c r="AW1" s="1320" t="s">
        <v>372</v>
      </c>
      <c r="AX1" s="1321"/>
      <c r="AY1" s="169"/>
      <c r="AZ1" s="169"/>
      <c r="BA1" s="170" t="s">
        <v>373</v>
      </c>
      <c r="BB1" s="170" t="s">
        <v>374</v>
      </c>
      <c r="BC1" s="170" t="s">
        <v>375</v>
      </c>
      <c r="BD1" s="170" t="s">
        <v>376</v>
      </c>
      <c r="BF1" s="1304"/>
      <c r="BG1" s="1328" t="s">
        <v>372</v>
      </c>
      <c r="BH1" s="1330" t="s">
        <v>377</v>
      </c>
      <c r="BI1" s="1331"/>
      <c r="BJ1" s="1331"/>
      <c r="BL1" s="1304"/>
      <c r="BM1" s="1328" t="s">
        <v>372</v>
      </c>
      <c r="BN1" s="1332" t="s">
        <v>378</v>
      </c>
      <c r="BO1" s="1333"/>
      <c r="BP1" s="1333"/>
      <c r="BQ1" s="1333"/>
      <c r="BR1" s="1333"/>
      <c r="BS1" s="1333"/>
      <c r="BT1" s="1334"/>
    </row>
    <row r="2" spans="1:72" ht="14.25">
      <c r="A2">
        <v>0.47499999999999998</v>
      </c>
      <c r="B2">
        <v>0.373426651453581</v>
      </c>
      <c r="D2" t="s">
        <v>379</v>
      </c>
      <c r="G2">
        <v>0.47499999999999998</v>
      </c>
      <c r="H2">
        <f>0.3611*G2^2-0.7629*G2+0.6524</f>
        <v>0.37149568749999995</v>
      </c>
      <c r="V2" t="s">
        <v>380</v>
      </c>
      <c r="X2" s="31" t="s">
        <v>381</v>
      </c>
      <c r="Y2" t="s">
        <v>316</v>
      </c>
      <c r="AB2" s="1311"/>
      <c r="AC2" s="1307"/>
      <c r="AD2" s="1315"/>
      <c r="AE2" s="1315"/>
      <c r="AF2" s="1315"/>
      <c r="AG2" s="1316"/>
      <c r="AH2" s="1311"/>
      <c r="AI2" s="1307"/>
      <c r="AJ2" s="1307"/>
      <c r="AK2" s="1308"/>
      <c r="AL2" s="165" t="s">
        <v>367</v>
      </c>
      <c r="AM2" s="166"/>
      <c r="AN2" s="167"/>
      <c r="AO2" s="167"/>
      <c r="AP2" s="167"/>
      <c r="AQ2" s="168">
        <v>0.5</v>
      </c>
      <c r="AR2" s="168">
        <v>1</v>
      </c>
      <c r="AS2" s="168">
        <v>2</v>
      </c>
      <c r="AT2" s="168">
        <v>2</v>
      </c>
      <c r="AV2" s="1305"/>
      <c r="AW2" s="1309" t="s">
        <v>382</v>
      </c>
      <c r="AX2" s="175"/>
      <c r="AY2" s="175"/>
      <c r="AZ2" s="175"/>
      <c r="BA2" s="176">
        <v>1</v>
      </c>
      <c r="BB2" s="176">
        <v>2</v>
      </c>
      <c r="BC2" s="176">
        <v>3</v>
      </c>
      <c r="BD2" s="176">
        <v>4</v>
      </c>
      <c r="BF2" s="1305"/>
      <c r="BG2" s="1329"/>
      <c r="BH2" s="170" t="s">
        <v>383</v>
      </c>
      <c r="BI2" s="170" t="s">
        <v>384</v>
      </c>
      <c r="BJ2" s="170" t="s">
        <v>385</v>
      </c>
      <c r="BL2" s="1305"/>
      <c r="BM2" s="1329"/>
      <c r="BN2" s="170" t="s">
        <v>386</v>
      </c>
      <c r="BO2" s="178" t="s">
        <v>387</v>
      </c>
      <c r="BP2" s="170" t="s">
        <v>388</v>
      </c>
      <c r="BQ2" s="179" t="s">
        <v>389</v>
      </c>
      <c r="BR2" s="179" t="s">
        <v>390</v>
      </c>
      <c r="BS2" s="170" t="s">
        <v>391</v>
      </c>
      <c r="BT2" s="179" t="s">
        <v>392</v>
      </c>
    </row>
    <row r="3" spans="1:72">
      <c r="A3">
        <v>0.488721560948922</v>
      </c>
      <c r="B3">
        <v>0.36603726725959301</v>
      </c>
      <c r="G3">
        <v>0.48</v>
      </c>
      <c r="H3">
        <f t="shared" ref="H3:H55" si="0">0.3611*G3^2-0.7629*G3+0.6524</f>
        <v>0.36940543999999997</v>
      </c>
      <c r="V3" t="s">
        <v>393</v>
      </c>
      <c r="X3" s="180" t="s">
        <v>394</v>
      </c>
      <c r="Y3" t="s">
        <v>317</v>
      </c>
      <c r="AB3" s="171"/>
      <c r="AC3" s="172"/>
      <c r="AD3" s="172"/>
      <c r="AE3" s="172"/>
      <c r="AF3" s="163"/>
      <c r="AG3" s="163"/>
      <c r="AH3" s="172"/>
      <c r="AI3" s="172"/>
      <c r="AJ3" s="172"/>
      <c r="AK3" s="173"/>
      <c r="AL3" s="165"/>
      <c r="AM3" s="166"/>
      <c r="AN3" s="167"/>
      <c r="AO3" s="167"/>
      <c r="AP3" s="167"/>
      <c r="AQ3" s="168">
        <v>1</v>
      </c>
      <c r="AR3" s="168">
        <v>2</v>
      </c>
      <c r="AS3" s="168">
        <v>3</v>
      </c>
      <c r="AT3" s="168">
        <v>4</v>
      </c>
      <c r="AV3" s="1305"/>
      <c r="AW3" s="1310"/>
      <c r="AX3" s="175" t="s">
        <v>395</v>
      </c>
      <c r="AY3" s="175">
        <v>1</v>
      </c>
      <c r="AZ3" s="175" t="str">
        <f>+_xlfn.CONCAT($AW$2,AY3)</f>
        <v>Norte/Sur1</v>
      </c>
      <c r="BA3" s="181">
        <v>0.82</v>
      </c>
      <c r="BB3" s="181">
        <v>0.74</v>
      </c>
      <c r="BC3" s="181">
        <v>0.62</v>
      </c>
      <c r="BD3" s="181">
        <v>0.39</v>
      </c>
      <c r="BF3" s="1305"/>
      <c r="BG3" s="177"/>
      <c r="BH3" s="170">
        <v>1</v>
      </c>
      <c r="BI3" s="170">
        <v>2</v>
      </c>
      <c r="BJ3" s="170">
        <v>3</v>
      </c>
      <c r="BL3" s="1305"/>
      <c r="BM3" s="177"/>
      <c r="BN3" s="182">
        <v>1</v>
      </c>
      <c r="BO3" s="182">
        <v>2</v>
      </c>
      <c r="BP3" s="182">
        <v>3</v>
      </c>
      <c r="BQ3" s="182">
        <v>4</v>
      </c>
      <c r="BR3" s="182">
        <v>5</v>
      </c>
      <c r="BS3" s="182">
        <v>6</v>
      </c>
      <c r="BT3" s="182">
        <v>7</v>
      </c>
    </row>
    <row r="4" spans="1:72" ht="37.5">
      <c r="A4">
        <v>0.50477448520863399</v>
      </c>
      <c r="B4">
        <v>0.35988424617843201</v>
      </c>
      <c r="G4">
        <v>0.49</v>
      </c>
      <c r="H4">
        <f t="shared" si="0"/>
        <v>0.36527910999999996</v>
      </c>
      <c r="V4" t="s">
        <v>396</v>
      </c>
      <c r="X4" s="180" t="s">
        <v>397</v>
      </c>
      <c r="Y4" t="s">
        <v>318</v>
      </c>
      <c r="AB4" s="1311"/>
      <c r="AC4" s="1307"/>
      <c r="AD4" s="1307"/>
      <c r="AE4" s="1307"/>
      <c r="AF4" s="164"/>
      <c r="AG4" s="1323"/>
      <c r="AH4" s="1324"/>
      <c r="AI4" s="162"/>
      <c r="AJ4" s="1307"/>
      <c r="AK4" s="1308"/>
      <c r="AL4" s="1309" t="s">
        <v>382</v>
      </c>
      <c r="AM4" s="174" t="s">
        <v>382</v>
      </c>
      <c r="AN4" s="175" t="s">
        <v>398</v>
      </c>
      <c r="AO4" s="183">
        <v>1</v>
      </c>
      <c r="AP4" s="183" t="str">
        <f>+_xlfn.CONCAT(AM4,AO4)</f>
        <v>Norte/Sur1</v>
      </c>
      <c r="AQ4" s="184">
        <v>0.82</v>
      </c>
      <c r="AR4" s="184">
        <v>0.5</v>
      </c>
      <c r="AS4" s="184">
        <v>0.28000000000000003</v>
      </c>
      <c r="AT4" s="184">
        <v>0.16</v>
      </c>
      <c r="AV4" s="1305"/>
      <c r="AW4" s="1310"/>
      <c r="AX4" s="175" t="s">
        <v>399</v>
      </c>
      <c r="AY4" s="175">
        <v>2</v>
      </c>
      <c r="AZ4" s="175" t="str">
        <f t="shared" ref="AZ4:AZ6" si="1">+_xlfn.CONCAT($AW$2,AY4)</f>
        <v>Norte/Sur2</v>
      </c>
      <c r="BA4" s="181">
        <v>0.76</v>
      </c>
      <c r="BB4" s="181">
        <v>0.67</v>
      </c>
      <c r="BC4" s="181">
        <v>0.56000000000000005</v>
      </c>
      <c r="BD4" s="181">
        <v>0.35</v>
      </c>
      <c r="BF4" s="1305"/>
      <c r="BG4" s="945" t="s">
        <v>382</v>
      </c>
      <c r="BH4" s="181">
        <v>0.42</v>
      </c>
      <c r="BI4" s="181">
        <v>0.26</v>
      </c>
      <c r="BJ4" s="181">
        <v>0.62</v>
      </c>
      <c r="BL4" s="1305"/>
      <c r="BM4" s="945" t="s">
        <v>400</v>
      </c>
      <c r="BN4" s="184">
        <v>0.37</v>
      </c>
      <c r="BO4" s="184">
        <v>0.44</v>
      </c>
      <c r="BP4" s="184">
        <v>0.49</v>
      </c>
      <c r="BQ4" s="184">
        <v>0.53</v>
      </c>
      <c r="BR4" s="184">
        <v>0.47</v>
      </c>
      <c r="BS4" s="184">
        <v>0.41</v>
      </c>
      <c r="BT4" s="184">
        <v>0.32</v>
      </c>
    </row>
    <row r="5" spans="1:72" ht="37.5">
      <c r="A5">
        <v>0.52082740946834505</v>
      </c>
      <c r="B5">
        <v>0.35373122509727101</v>
      </c>
      <c r="G5">
        <v>0.5</v>
      </c>
      <c r="H5">
        <f t="shared" si="0"/>
        <v>0.36122499999999996</v>
      </c>
      <c r="Y5" t="s">
        <v>401</v>
      </c>
      <c r="AB5" s="1311"/>
      <c r="AC5" s="1307"/>
      <c r="AD5" s="1307"/>
      <c r="AE5" s="1307"/>
      <c r="AF5" s="1308"/>
      <c r="AG5" s="1325"/>
      <c r="AH5" s="1326"/>
      <c r="AI5" s="1312"/>
      <c r="AJ5" s="1313"/>
      <c r="AK5" s="1345"/>
      <c r="AL5" s="1310"/>
      <c r="AM5" s="174" t="s">
        <v>382</v>
      </c>
      <c r="AN5" s="175" t="s">
        <v>402</v>
      </c>
      <c r="AO5" s="183">
        <v>2</v>
      </c>
      <c r="AP5" s="183" t="str">
        <f t="shared" ref="AP5:AP17" si="2">+_xlfn.CONCAT(AM5,AO5)</f>
        <v>Norte/Sur2</v>
      </c>
      <c r="AQ5" s="184">
        <v>0.87</v>
      </c>
      <c r="AR5" s="184">
        <v>0.64</v>
      </c>
      <c r="AS5" s="184">
        <v>0.39</v>
      </c>
      <c r="AT5" s="184">
        <v>0.22</v>
      </c>
      <c r="AV5" s="1305"/>
      <c r="AW5" s="1310"/>
      <c r="AX5" s="175" t="s">
        <v>403</v>
      </c>
      <c r="AY5" s="175">
        <v>3</v>
      </c>
      <c r="AZ5" s="175" t="str">
        <f t="shared" si="1"/>
        <v>Norte/Sur3</v>
      </c>
      <c r="BA5" s="181">
        <v>0.56000000000000005</v>
      </c>
      <c r="BB5" s="181">
        <v>0.51</v>
      </c>
      <c r="BC5" s="181">
        <v>0.39</v>
      </c>
      <c r="BD5" s="181">
        <v>0.27</v>
      </c>
      <c r="BF5" s="1305"/>
      <c r="BG5" s="945" t="s">
        <v>404</v>
      </c>
      <c r="BH5" s="186">
        <v>0.44</v>
      </c>
      <c r="BI5" s="186">
        <v>0.26</v>
      </c>
      <c r="BJ5" s="186">
        <v>0.72</v>
      </c>
      <c r="BL5" s="1305"/>
      <c r="BM5" s="185" t="s">
        <v>405</v>
      </c>
      <c r="BN5" s="187">
        <v>0.46</v>
      </c>
      <c r="BO5" s="187">
        <v>0.53</v>
      </c>
      <c r="BP5" s="187">
        <v>0.56000000000000005</v>
      </c>
      <c r="BQ5" s="187">
        <v>0.56000000000000005</v>
      </c>
      <c r="BR5" s="187">
        <v>0.47</v>
      </c>
      <c r="BS5" s="187">
        <v>0.4</v>
      </c>
      <c r="BT5" s="187">
        <v>0.3</v>
      </c>
    </row>
    <row r="6" spans="1:72" ht="37.5">
      <c r="A6">
        <v>0.53396489232663003</v>
      </c>
      <c r="B6">
        <v>0.34757460470573798</v>
      </c>
      <c r="G6">
        <v>0.51</v>
      </c>
      <c r="H6">
        <f t="shared" si="0"/>
        <v>0.35724310999999997</v>
      </c>
      <c r="AB6" s="188"/>
      <c r="AC6" s="1346"/>
      <c r="AD6" s="1347"/>
      <c r="AE6" s="1347"/>
      <c r="AF6" s="1347"/>
      <c r="AG6" s="1307"/>
      <c r="AH6" s="1307"/>
      <c r="AI6" s="1307"/>
      <c r="AJ6" s="1308"/>
      <c r="AK6" s="1345"/>
      <c r="AL6" s="1310"/>
      <c r="AM6" s="174" t="s">
        <v>382</v>
      </c>
      <c r="AN6" s="189" t="s">
        <v>406</v>
      </c>
      <c r="AO6" s="183">
        <v>3</v>
      </c>
      <c r="AP6" s="183" t="str">
        <f t="shared" si="2"/>
        <v>Norte/Sur3</v>
      </c>
      <c r="AQ6" s="190">
        <v>0.93</v>
      </c>
      <c r="AR6" s="190">
        <v>0.82</v>
      </c>
      <c r="AS6" s="190">
        <v>0.6</v>
      </c>
      <c r="AT6" s="190">
        <v>0.39</v>
      </c>
      <c r="AV6" s="1305"/>
      <c r="AW6" s="1322"/>
      <c r="AX6" s="175" t="s">
        <v>407</v>
      </c>
      <c r="AY6" s="175">
        <v>4</v>
      </c>
      <c r="AZ6" s="175" t="str">
        <f t="shared" si="1"/>
        <v>Norte/Sur4</v>
      </c>
      <c r="BA6" s="181">
        <v>0.35</v>
      </c>
      <c r="BB6" s="181">
        <v>0.32</v>
      </c>
      <c r="BC6" s="181">
        <v>0.27</v>
      </c>
      <c r="BD6" s="181">
        <v>0.17</v>
      </c>
      <c r="BF6" s="1305"/>
      <c r="BG6" s="945" t="s">
        <v>408</v>
      </c>
      <c r="BH6" s="181">
        <v>0.44</v>
      </c>
      <c r="BI6" s="181">
        <v>0.26</v>
      </c>
      <c r="BJ6" s="181">
        <v>0.72</v>
      </c>
      <c r="BL6" s="1305"/>
      <c r="BM6" s="185" t="s">
        <v>409</v>
      </c>
      <c r="BN6" s="184">
        <v>0.38</v>
      </c>
      <c r="BO6" s="184">
        <v>0.44</v>
      </c>
      <c r="BP6" s="184">
        <v>0.5</v>
      </c>
      <c r="BQ6" s="184">
        <v>0.56000000000000005</v>
      </c>
      <c r="BR6" s="184">
        <v>0.53</v>
      </c>
      <c r="BS6" s="184">
        <v>0.48</v>
      </c>
      <c r="BT6" s="184">
        <v>0.38</v>
      </c>
    </row>
    <row r="7" spans="1:72" ht="22.5">
      <c r="A7">
        <v>0.55001061796559703</v>
      </c>
      <c r="B7">
        <v>0.34389071053985998</v>
      </c>
      <c r="G7">
        <v>0.52</v>
      </c>
      <c r="H7">
        <f t="shared" si="0"/>
        <v>0.35333344</v>
      </c>
      <c r="AB7" s="171"/>
      <c r="AC7" s="1315"/>
      <c r="AD7" s="1316"/>
      <c r="AE7" s="1314"/>
      <c r="AF7" s="1316"/>
      <c r="AG7" s="1311"/>
      <c r="AH7" s="1307"/>
      <c r="AI7" s="1307"/>
      <c r="AJ7" s="1308"/>
      <c r="AK7" s="1345"/>
      <c r="AL7" s="1327" t="s">
        <v>410</v>
      </c>
      <c r="AM7" s="174" t="s">
        <v>408</v>
      </c>
      <c r="AN7" s="191" t="s">
        <v>398</v>
      </c>
      <c r="AO7" s="183">
        <v>1</v>
      </c>
      <c r="AP7" s="183" t="str">
        <f t="shared" si="2"/>
        <v>NorEste/SurEste1</v>
      </c>
      <c r="AQ7" s="192">
        <v>0.9</v>
      </c>
      <c r="AR7" s="192">
        <v>0.71</v>
      </c>
      <c r="AS7" s="192">
        <v>0.43</v>
      </c>
      <c r="AT7" s="192">
        <v>0.16</v>
      </c>
      <c r="AV7" s="1305"/>
      <c r="AW7" s="1309" t="s">
        <v>408</v>
      </c>
      <c r="AX7" s="193" t="s">
        <v>395</v>
      </c>
      <c r="AY7" s="175">
        <v>1</v>
      </c>
      <c r="AZ7" s="175" t="str">
        <f>+_xlfn.CONCAT($AW$7,AY7)</f>
        <v>NorEste/SurEste1</v>
      </c>
      <c r="BA7" s="186">
        <v>0.86</v>
      </c>
      <c r="BB7" s="186">
        <v>0.81</v>
      </c>
      <c r="BC7" s="186">
        <v>0.72</v>
      </c>
      <c r="BD7" s="186">
        <v>0.51</v>
      </c>
      <c r="BF7" s="1305"/>
      <c r="BG7" s="185" t="s">
        <v>411</v>
      </c>
      <c r="BH7" s="186">
        <v>0.45</v>
      </c>
      <c r="BI7" s="186">
        <v>0.27</v>
      </c>
      <c r="BJ7" s="186">
        <v>0.81</v>
      </c>
      <c r="BL7" s="1305"/>
      <c r="BM7" s="185" t="s">
        <v>411</v>
      </c>
      <c r="BN7" s="187">
        <v>0.39</v>
      </c>
      <c r="BO7" s="187">
        <v>0.47</v>
      </c>
      <c r="BP7" s="187">
        <v>0.54</v>
      </c>
      <c r="BQ7" s="187">
        <v>0.63</v>
      </c>
      <c r="BR7" s="187">
        <v>0.55000000000000004</v>
      </c>
      <c r="BS7" s="187">
        <v>0.45</v>
      </c>
      <c r="BT7" s="187">
        <v>0.32</v>
      </c>
    </row>
    <row r="8" spans="1:72" ht="22.5">
      <c r="A8">
        <v>0.56460942083496801</v>
      </c>
      <c r="B8">
        <v>0.33650132634587199</v>
      </c>
      <c r="G8">
        <v>0.53</v>
      </c>
      <c r="H8">
        <f t="shared" si="0"/>
        <v>0.34949598999999992</v>
      </c>
      <c r="AB8" s="1311"/>
      <c r="AC8" s="1307"/>
      <c r="AD8" s="1308"/>
      <c r="AE8" s="1311"/>
      <c r="AF8" s="1308"/>
      <c r="AG8" s="1325"/>
      <c r="AH8" s="1326"/>
      <c r="AI8" s="1311"/>
      <c r="AJ8" s="1308"/>
      <c r="AK8" s="1345"/>
      <c r="AL8" s="1310"/>
      <c r="AM8" s="174" t="s">
        <v>408</v>
      </c>
      <c r="AN8" s="193" t="s">
        <v>402</v>
      </c>
      <c r="AO8" s="183">
        <v>2</v>
      </c>
      <c r="AP8" s="183" t="str">
        <f t="shared" si="2"/>
        <v>NorEste/SurEste2</v>
      </c>
      <c r="AQ8" s="187">
        <v>0.94</v>
      </c>
      <c r="AR8" s="187">
        <v>0.82</v>
      </c>
      <c r="AS8" s="187">
        <v>0.6</v>
      </c>
      <c r="AT8" s="187">
        <v>0.27</v>
      </c>
      <c r="AV8" s="1305"/>
      <c r="AW8" s="1310"/>
      <c r="AX8" s="193" t="s">
        <v>399</v>
      </c>
      <c r="AY8" s="175">
        <v>2</v>
      </c>
      <c r="AZ8" s="175" t="str">
        <f t="shared" ref="AZ8:AZ10" si="3">+_xlfn.CONCAT($AW$7,AY8)</f>
        <v>NorEste/SurEste2</v>
      </c>
      <c r="BA8" s="186">
        <v>0.79</v>
      </c>
      <c r="BB8" s="186">
        <v>0.74</v>
      </c>
      <c r="BC8" s="186">
        <v>0.66</v>
      </c>
      <c r="BD8" s="186">
        <v>0.47</v>
      </c>
      <c r="BF8" s="1306"/>
      <c r="BG8" s="185" t="s">
        <v>412</v>
      </c>
      <c r="BH8" s="181">
        <v>0.45</v>
      </c>
      <c r="BI8" s="181">
        <v>0.27</v>
      </c>
      <c r="BJ8" s="181">
        <v>0.81</v>
      </c>
      <c r="BL8" s="1306"/>
      <c r="BM8" s="185" t="s">
        <v>412</v>
      </c>
      <c r="BN8" s="184">
        <v>0.44</v>
      </c>
      <c r="BO8" s="184">
        <v>0.52</v>
      </c>
      <c r="BP8" s="184">
        <v>0.57999999999999996</v>
      </c>
      <c r="BQ8" s="184">
        <v>0.63</v>
      </c>
      <c r="BR8" s="184">
        <v>0.5</v>
      </c>
      <c r="BS8" s="184">
        <v>0.41</v>
      </c>
      <c r="BT8" s="184">
        <v>0.28999999999999998</v>
      </c>
    </row>
    <row r="9" spans="1:72" ht="22.5">
      <c r="A9">
        <v>0.57775050300362396</v>
      </c>
      <c r="B9">
        <v>0.32911014249669701</v>
      </c>
      <c r="G9">
        <v>0.54</v>
      </c>
      <c r="H9">
        <f t="shared" si="0"/>
        <v>0.34573075999999991</v>
      </c>
      <c r="AB9" s="1337"/>
      <c r="AC9" s="1338"/>
      <c r="AD9" s="1338"/>
      <c r="AE9" s="1338"/>
      <c r="AF9" s="1339"/>
      <c r="AG9" s="1325"/>
      <c r="AH9" s="1326"/>
      <c r="AI9" s="1325"/>
      <c r="AJ9" s="1343"/>
      <c r="AK9" s="1326"/>
      <c r="AL9" s="1310"/>
      <c r="AM9" s="174" t="s">
        <v>408</v>
      </c>
      <c r="AN9" s="193" t="s">
        <v>406</v>
      </c>
      <c r="AO9" s="183">
        <v>3</v>
      </c>
      <c r="AP9" s="183" t="str">
        <f t="shared" si="2"/>
        <v>NorEste/SurEste3</v>
      </c>
      <c r="AQ9" s="187">
        <v>0.98</v>
      </c>
      <c r="AR9" s="187">
        <v>0.93</v>
      </c>
      <c r="AS9" s="187">
        <v>0.84</v>
      </c>
      <c r="AT9" s="187">
        <v>0.65</v>
      </c>
      <c r="AV9" s="1305"/>
      <c r="AW9" s="1310"/>
      <c r="AX9" s="193" t="s">
        <v>403</v>
      </c>
      <c r="AY9" s="175">
        <v>3</v>
      </c>
      <c r="AZ9" s="175" t="str">
        <f t="shared" si="3"/>
        <v>NorEste/SurEste3</v>
      </c>
      <c r="BA9" s="186">
        <v>0.59</v>
      </c>
      <c r="BB9" s="186">
        <v>0.56000000000000005</v>
      </c>
      <c r="BC9" s="186">
        <v>0.47</v>
      </c>
      <c r="BD9" s="186">
        <v>0.36</v>
      </c>
      <c r="BM9" s="944" t="s">
        <v>413</v>
      </c>
    </row>
    <row r="10" spans="1:72" ht="22.5">
      <c r="A10">
        <v>0.59233490863150595</v>
      </c>
      <c r="B10">
        <v>0.32665901213327497</v>
      </c>
      <c r="G10">
        <v>0.55000000000000004</v>
      </c>
      <c r="H10">
        <f t="shared" si="0"/>
        <v>0.34203774999999992</v>
      </c>
      <c r="AB10" s="1340"/>
      <c r="AC10" s="1341"/>
      <c r="AD10" s="1341"/>
      <c r="AE10" s="1341"/>
      <c r="AF10" s="1342"/>
      <c r="AG10" s="1335"/>
      <c r="AH10" s="1336"/>
      <c r="AI10" s="1335"/>
      <c r="AJ10" s="1344"/>
      <c r="AK10" s="1336"/>
      <c r="AL10" s="1327" t="s">
        <v>404</v>
      </c>
      <c r="AM10" s="174" t="s">
        <v>404</v>
      </c>
      <c r="AN10" s="175" t="s">
        <v>398</v>
      </c>
      <c r="AO10" s="183">
        <v>1</v>
      </c>
      <c r="AP10" s="183" t="str">
        <f t="shared" si="2"/>
        <v>NorOeste/SurOeste1</v>
      </c>
      <c r="AQ10" s="184">
        <v>0.9</v>
      </c>
      <c r="AR10" s="184">
        <v>0.71</v>
      </c>
      <c r="AS10" s="184">
        <v>0.43</v>
      </c>
      <c r="AT10" s="184">
        <v>0.16</v>
      </c>
      <c r="AV10" s="1305"/>
      <c r="AW10" s="1322"/>
      <c r="AX10" s="193" t="s">
        <v>407</v>
      </c>
      <c r="AY10" s="175">
        <v>4</v>
      </c>
      <c r="AZ10" s="175" t="str">
        <f t="shared" si="3"/>
        <v>NorEste/SurEste4</v>
      </c>
      <c r="BA10" s="186">
        <v>0.38</v>
      </c>
      <c r="BB10" s="186">
        <v>0.36</v>
      </c>
      <c r="BC10" s="186">
        <v>0.32</v>
      </c>
      <c r="BD10" s="186">
        <v>0.23</v>
      </c>
      <c r="BM10" s="944" t="s">
        <v>414</v>
      </c>
    </row>
    <row r="11" spans="1:72" ht="22.5">
      <c r="A11">
        <v>0.60254975146761802</v>
      </c>
      <c r="B11">
        <v>0.32296791934665298</v>
      </c>
      <c r="G11">
        <v>0.56000000000000005</v>
      </c>
      <c r="H11">
        <f t="shared" si="0"/>
        <v>0.33841695999999993</v>
      </c>
      <c r="AB11" s="171"/>
      <c r="AC11" s="1315"/>
      <c r="AD11" s="1315"/>
      <c r="AE11" s="1315"/>
      <c r="AF11" s="1315"/>
      <c r="AG11" s="1316"/>
      <c r="AH11" s="1314"/>
      <c r="AI11" s="1315"/>
      <c r="AJ11" s="1315"/>
      <c r="AK11" s="173"/>
      <c r="AL11" s="1327"/>
      <c r="AM11" s="174" t="s">
        <v>404</v>
      </c>
      <c r="AN11" s="175" t="s">
        <v>402</v>
      </c>
      <c r="AO11" s="183">
        <v>2</v>
      </c>
      <c r="AP11" s="183" t="str">
        <f t="shared" si="2"/>
        <v>NorOeste/SurOeste2</v>
      </c>
      <c r="AQ11" s="184">
        <v>0.94</v>
      </c>
      <c r="AR11" s="184">
        <v>0.82</v>
      </c>
      <c r="AS11" s="184">
        <v>0.6</v>
      </c>
      <c r="AT11" s="184">
        <v>0.27</v>
      </c>
      <c r="AV11" s="1305"/>
      <c r="AW11" s="1309" t="s">
        <v>404</v>
      </c>
      <c r="AX11" s="175" t="s">
        <v>395</v>
      </c>
      <c r="AY11" s="175">
        <v>1</v>
      </c>
      <c r="AZ11" s="175" t="str">
        <f>+_xlfn.CONCAT($AW$11,AY11)</f>
        <v>NorOeste/SurOeste1</v>
      </c>
      <c r="BA11" s="181">
        <v>0.86</v>
      </c>
      <c r="BB11" s="181">
        <v>0.81</v>
      </c>
      <c r="BC11" s="181">
        <v>0.72</v>
      </c>
      <c r="BD11" s="181">
        <v>0.51</v>
      </c>
      <c r="BM11" s="944" t="s">
        <v>415</v>
      </c>
    </row>
    <row r="12" spans="1:72" ht="22.5">
      <c r="A12">
        <v>0.61422591431481699</v>
      </c>
      <c r="B12">
        <v>0.31804406275757502</v>
      </c>
      <c r="G12">
        <v>0.56999999999999995</v>
      </c>
      <c r="H12">
        <f t="shared" si="0"/>
        <v>0.33486838999999996</v>
      </c>
      <c r="AB12" s="1348"/>
      <c r="AC12" s="1349"/>
      <c r="AD12" s="1349"/>
      <c r="AE12" s="1349"/>
      <c r="AF12" s="1349"/>
      <c r="AG12" s="1350"/>
      <c r="AH12" s="1354"/>
      <c r="AI12" s="1355"/>
      <c r="AJ12" s="1355"/>
      <c r="AK12" s="1345"/>
      <c r="AL12" s="1327"/>
      <c r="AM12" s="174" t="s">
        <v>404</v>
      </c>
      <c r="AN12" s="175" t="s">
        <v>406</v>
      </c>
      <c r="AO12" s="183">
        <v>3</v>
      </c>
      <c r="AP12" s="183" t="str">
        <f t="shared" si="2"/>
        <v>NorOeste/SurOeste3</v>
      </c>
      <c r="AQ12" s="184">
        <v>0.98</v>
      </c>
      <c r="AR12" s="184">
        <v>0.93</v>
      </c>
      <c r="AS12" s="184">
        <v>0.84</v>
      </c>
      <c r="AT12" s="184">
        <v>0.65</v>
      </c>
      <c r="AV12" s="1305"/>
      <c r="AW12" s="1310"/>
      <c r="AX12" s="175" t="s">
        <v>399</v>
      </c>
      <c r="AY12" s="175">
        <v>2</v>
      </c>
      <c r="AZ12" s="175" t="str">
        <f t="shared" ref="AZ12:AZ14" si="4">+_xlfn.CONCAT($AW$11,AY12)</f>
        <v>NorOeste/SurOeste2</v>
      </c>
      <c r="BA12" s="181">
        <v>0.79</v>
      </c>
      <c r="BB12" s="181">
        <v>0.74</v>
      </c>
      <c r="BC12" s="181">
        <v>0.66</v>
      </c>
      <c r="BD12" s="181">
        <v>0.47</v>
      </c>
    </row>
    <row r="13" spans="1:72" ht="22.5">
      <c r="A13">
        <v>0.63172936065449803</v>
      </c>
      <c r="B13">
        <v>0.31436196824688301</v>
      </c>
      <c r="G13">
        <v>0.57999999999999996</v>
      </c>
      <c r="H13">
        <f t="shared" si="0"/>
        <v>0.33139204</v>
      </c>
      <c r="AB13" s="1348"/>
      <c r="AC13" s="1349"/>
      <c r="AD13" s="1349"/>
      <c r="AE13" s="1349"/>
      <c r="AF13" s="1349"/>
      <c r="AG13" s="1350"/>
      <c r="AH13" s="1354"/>
      <c r="AI13" s="1355"/>
      <c r="AJ13" s="1355"/>
      <c r="AK13" s="1345"/>
      <c r="AL13" s="1310" t="s">
        <v>416</v>
      </c>
      <c r="AM13" s="174" t="s">
        <v>416</v>
      </c>
      <c r="AN13" s="193" t="s">
        <v>398</v>
      </c>
      <c r="AO13" s="183">
        <v>1</v>
      </c>
      <c r="AP13" s="183" t="str">
        <f t="shared" si="2"/>
        <v>Este1</v>
      </c>
      <c r="AQ13" s="187">
        <v>0.92</v>
      </c>
      <c r="AR13" s="187">
        <v>0.77</v>
      </c>
      <c r="AS13" s="187">
        <v>0.55000000000000004</v>
      </c>
      <c r="AT13" s="187">
        <v>0.22</v>
      </c>
      <c r="AV13" s="1305"/>
      <c r="AW13" s="1310"/>
      <c r="AX13" s="175" t="s">
        <v>403</v>
      </c>
      <c r="AY13" s="175">
        <v>3</v>
      </c>
      <c r="AZ13" s="175" t="str">
        <f t="shared" si="4"/>
        <v>NorOeste/SurOeste3</v>
      </c>
      <c r="BA13" s="181">
        <v>0.59</v>
      </c>
      <c r="BB13" s="181">
        <v>0.56000000000000005</v>
      </c>
      <c r="BC13" s="181">
        <v>0.47</v>
      </c>
      <c r="BD13" s="181">
        <v>0.36</v>
      </c>
    </row>
    <row r="14" spans="1:72" ht="22.5">
      <c r="A14">
        <v>0.64923280699417896</v>
      </c>
      <c r="B14">
        <v>0.31067987373619199</v>
      </c>
      <c r="G14">
        <v>0.59</v>
      </c>
      <c r="H14">
        <f t="shared" si="0"/>
        <v>0.32798790999999994</v>
      </c>
      <c r="AB14" s="1348"/>
      <c r="AC14" s="1349"/>
      <c r="AD14" s="1349"/>
      <c r="AE14" s="1349"/>
      <c r="AF14" s="1349"/>
      <c r="AG14" s="1350"/>
      <c r="AH14" s="1354"/>
      <c r="AI14" s="1355"/>
      <c r="AJ14" s="1355"/>
      <c r="AK14" s="1345"/>
      <c r="AL14" s="1310"/>
      <c r="AM14" s="174" t="s">
        <v>416</v>
      </c>
      <c r="AN14" s="193" t="s">
        <v>402</v>
      </c>
      <c r="AO14" s="183">
        <v>2</v>
      </c>
      <c r="AP14" s="183" t="str">
        <f t="shared" si="2"/>
        <v>Este2</v>
      </c>
      <c r="AQ14" s="187">
        <v>0.96</v>
      </c>
      <c r="AR14" s="187">
        <v>0.86</v>
      </c>
      <c r="AS14" s="187">
        <v>0.7</v>
      </c>
      <c r="AT14" s="187">
        <v>0.43</v>
      </c>
      <c r="AV14" s="1305"/>
      <c r="AW14" s="1322"/>
      <c r="AX14" s="175" t="s">
        <v>407</v>
      </c>
      <c r="AY14" s="175">
        <v>4</v>
      </c>
      <c r="AZ14" s="175" t="str">
        <f t="shared" si="4"/>
        <v>NorOeste/SurOeste4</v>
      </c>
      <c r="BA14" s="181">
        <v>0.38</v>
      </c>
      <c r="BB14" s="181">
        <v>0.36</v>
      </c>
      <c r="BC14" s="181">
        <v>0.32</v>
      </c>
      <c r="BD14" s="181">
        <v>0.23</v>
      </c>
    </row>
    <row r="15" spans="1:72" ht="19.5">
      <c r="A15">
        <v>0.66237388916283602</v>
      </c>
      <c r="B15">
        <v>0.30328868988701702</v>
      </c>
      <c r="G15">
        <v>0.6</v>
      </c>
      <c r="H15">
        <f t="shared" si="0"/>
        <v>0.324656</v>
      </c>
      <c r="AB15" s="1351"/>
      <c r="AC15" s="1352"/>
      <c r="AD15" s="1352"/>
      <c r="AE15" s="1352"/>
      <c r="AF15" s="1352"/>
      <c r="AG15" s="1353"/>
      <c r="AH15" s="1356"/>
      <c r="AI15" s="1357"/>
      <c r="AJ15" s="1357"/>
      <c r="AK15" s="1358"/>
      <c r="AL15" s="1322"/>
      <c r="AM15" s="174" t="s">
        <v>416</v>
      </c>
      <c r="AN15" s="194" t="s">
        <v>406</v>
      </c>
      <c r="AO15" s="183">
        <v>3</v>
      </c>
      <c r="AP15" s="183" t="str">
        <f t="shared" si="2"/>
        <v>Este3</v>
      </c>
      <c r="AQ15" s="192">
        <v>0.99</v>
      </c>
      <c r="AR15" s="192">
        <v>0.96</v>
      </c>
      <c r="AS15" s="192">
        <v>0.89</v>
      </c>
      <c r="AT15" s="192">
        <v>0.75</v>
      </c>
      <c r="AV15" s="1305"/>
      <c r="AW15" s="1359" t="s">
        <v>412</v>
      </c>
      <c r="AX15" s="193" t="s">
        <v>395</v>
      </c>
      <c r="AY15" s="175">
        <v>1</v>
      </c>
      <c r="AZ15" s="175" t="str">
        <f>+_xlfn.CONCAT($AW$15,AY15)</f>
        <v>Este1</v>
      </c>
      <c r="BA15" s="186">
        <v>0.91</v>
      </c>
      <c r="BB15" s="186">
        <v>0.87</v>
      </c>
      <c r="BC15" s="186">
        <v>0.81</v>
      </c>
      <c r="BD15" s="186">
        <v>0.65</v>
      </c>
    </row>
    <row r="16" spans="1:72" ht="21">
      <c r="A16">
        <v>0.67258153337820403</v>
      </c>
      <c r="B16">
        <v>0.30206672401567802</v>
      </c>
      <c r="G16">
        <v>0.61</v>
      </c>
      <c r="H16">
        <f t="shared" si="0"/>
        <v>0.32139631000000002</v>
      </c>
      <c r="AB16" s="1325"/>
      <c r="AC16" s="1343"/>
      <c r="AD16" s="1343"/>
      <c r="AE16" s="1343"/>
      <c r="AF16" s="1326"/>
      <c r="AG16" s="1360"/>
      <c r="AH16" s="1361"/>
      <c r="AI16" s="1325"/>
      <c r="AJ16" s="1343"/>
      <c r="AK16" s="1326"/>
      <c r="AL16" s="1309" t="s">
        <v>417</v>
      </c>
      <c r="AM16" s="195" t="s">
        <v>417</v>
      </c>
      <c r="AN16" s="196" t="s">
        <v>398</v>
      </c>
      <c r="AO16" s="183">
        <v>1</v>
      </c>
      <c r="AP16" s="183" t="str">
        <f t="shared" si="2"/>
        <v>Oeste1</v>
      </c>
      <c r="AQ16" s="184">
        <v>0.92</v>
      </c>
      <c r="AR16" s="184">
        <v>0.77</v>
      </c>
      <c r="AS16" s="184">
        <v>0.55000000000000004</v>
      </c>
      <c r="AT16" s="184">
        <v>0.22</v>
      </c>
      <c r="AV16" s="1305"/>
      <c r="AW16" s="1310"/>
      <c r="AX16" s="193" t="s">
        <v>399</v>
      </c>
      <c r="AY16" s="175">
        <v>2</v>
      </c>
      <c r="AZ16" s="175" t="str">
        <f t="shared" ref="AZ16:AZ18" si="5">+_xlfn.CONCAT($AW$15,AY16)</f>
        <v>Este2</v>
      </c>
      <c r="BA16" s="186">
        <v>0.86</v>
      </c>
      <c r="BB16" s="186">
        <v>0.82</v>
      </c>
      <c r="BC16" s="186">
        <v>0.76</v>
      </c>
      <c r="BD16" s="186">
        <v>0.61</v>
      </c>
    </row>
    <row r="17" spans="1:58" ht="21">
      <c r="A17">
        <v>0.69154629972897197</v>
      </c>
      <c r="B17">
        <v>0.29715186570253099</v>
      </c>
      <c r="G17">
        <v>0.62</v>
      </c>
      <c r="H17">
        <f t="shared" si="0"/>
        <v>0.31820883999999994</v>
      </c>
      <c r="AB17" s="1325"/>
      <c r="AC17" s="1343"/>
      <c r="AD17" s="1343"/>
      <c r="AE17" s="1343"/>
      <c r="AF17" s="1326"/>
      <c r="AG17" s="1362"/>
      <c r="AH17" s="1363"/>
      <c r="AI17" s="1325"/>
      <c r="AJ17" s="1343"/>
      <c r="AK17" s="1326"/>
      <c r="AL17" s="1327"/>
      <c r="AM17" s="195" t="s">
        <v>417</v>
      </c>
      <c r="AN17" s="196" t="s">
        <v>402</v>
      </c>
      <c r="AO17" s="183">
        <v>2</v>
      </c>
      <c r="AP17" s="183" t="str">
        <f t="shared" si="2"/>
        <v>Oeste2</v>
      </c>
      <c r="AQ17" s="184">
        <v>0.96</v>
      </c>
      <c r="AR17" s="184">
        <v>0.86</v>
      </c>
      <c r="AS17" s="184">
        <v>0.7</v>
      </c>
      <c r="AT17" s="184">
        <v>0.43</v>
      </c>
      <c r="AV17" s="1305"/>
      <c r="AW17" s="1310"/>
      <c r="AX17" s="193" t="s">
        <v>403</v>
      </c>
      <c r="AY17" s="175">
        <v>3</v>
      </c>
      <c r="AZ17" s="175" t="str">
        <f t="shared" si="5"/>
        <v>Este3</v>
      </c>
      <c r="BA17" s="186">
        <v>0.71</v>
      </c>
      <c r="BB17" s="186">
        <v>0.68</v>
      </c>
      <c r="BC17" s="186">
        <v>0.61</v>
      </c>
      <c r="BD17" s="186">
        <v>0.51</v>
      </c>
    </row>
    <row r="18" spans="1:58" ht="21">
      <c r="A18">
        <v>0.70759562467831105</v>
      </c>
      <c r="B18">
        <v>0.29223340807901199</v>
      </c>
      <c r="G18">
        <v>0.63</v>
      </c>
      <c r="H18">
        <f t="shared" si="0"/>
        <v>0.31509358999999992</v>
      </c>
      <c r="AB18" s="1312"/>
      <c r="AC18" s="1364"/>
      <c r="AD18" s="1364"/>
      <c r="AE18" s="1364"/>
      <c r="AF18" s="1364"/>
      <c r="AG18" s="1365"/>
      <c r="AH18" s="1365"/>
      <c r="AI18" s="1364"/>
      <c r="AJ18" s="1364"/>
      <c r="AK18" s="1313"/>
      <c r="AL18" s="1327"/>
      <c r="AM18" s="195" t="s">
        <v>417</v>
      </c>
      <c r="AN18" s="196" t="s">
        <v>406</v>
      </c>
      <c r="AO18" s="183">
        <v>3</v>
      </c>
      <c r="AP18" s="183" t="str">
        <f>+_xlfn.CONCAT(AM18,AO18)</f>
        <v>Oeste3</v>
      </c>
      <c r="AQ18" s="184">
        <v>0.99</v>
      </c>
      <c r="AR18" s="184">
        <v>0.96</v>
      </c>
      <c r="AS18" s="184">
        <v>0.89</v>
      </c>
      <c r="AT18" s="184">
        <v>0.75</v>
      </c>
      <c r="AV18" s="1305"/>
      <c r="AW18" s="1322"/>
      <c r="AX18" s="193" t="s">
        <v>407</v>
      </c>
      <c r="AY18" s="175">
        <v>4</v>
      </c>
      <c r="AZ18" s="175" t="str">
        <f t="shared" si="5"/>
        <v>Este4</v>
      </c>
      <c r="BA18" s="186">
        <v>0.53</v>
      </c>
      <c r="BB18" s="186">
        <v>0.51</v>
      </c>
      <c r="BC18" s="186">
        <v>0.48</v>
      </c>
      <c r="BD18" s="186">
        <v>0.39</v>
      </c>
    </row>
    <row r="19" spans="1:58" ht="13.5">
      <c r="A19">
        <v>0.72801091310904797</v>
      </c>
      <c r="B19">
        <v>0.28978947633633401</v>
      </c>
      <c r="G19">
        <v>0.64</v>
      </c>
      <c r="H19">
        <f t="shared" si="0"/>
        <v>0.31205055999999998</v>
      </c>
      <c r="AB19" s="1366" t="s">
        <v>418</v>
      </c>
      <c r="AC19" s="1367"/>
      <c r="AD19" s="1367"/>
      <c r="AE19" s="1367"/>
      <c r="AF19" s="1367"/>
      <c r="AG19" s="1367"/>
      <c r="AH19" s="1367"/>
      <c r="AI19" s="1367"/>
      <c r="AJ19" s="1367"/>
      <c r="AK19" s="1367"/>
      <c r="AL19" s="1309" t="s">
        <v>413</v>
      </c>
      <c r="AM19" s="174" t="s">
        <v>413</v>
      </c>
      <c r="AN19" s="175" t="s">
        <v>398</v>
      </c>
      <c r="AO19" s="183">
        <v>1</v>
      </c>
      <c r="AP19" s="183" t="str">
        <f>+_xlfn.CONCAT(AM19,AO19)</f>
        <v>Sur1</v>
      </c>
      <c r="AQ19" s="184">
        <v>0.82</v>
      </c>
      <c r="AR19" s="184">
        <v>0.5</v>
      </c>
      <c r="AS19" s="184">
        <v>0.28000000000000003</v>
      </c>
      <c r="AT19" s="184">
        <v>0.16</v>
      </c>
      <c r="AV19" s="1305"/>
      <c r="AW19" s="1359" t="s">
        <v>411</v>
      </c>
      <c r="AX19" s="175" t="s">
        <v>395</v>
      </c>
      <c r="AY19" s="175">
        <v>1</v>
      </c>
      <c r="AZ19" s="175" t="str">
        <f>+_xlfn.CONCAT($AW$19,AY19)</f>
        <v>Oeste1</v>
      </c>
      <c r="BA19" s="181">
        <v>0.91</v>
      </c>
      <c r="BB19" s="181">
        <v>0.87</v>
      </c>
      <c r="BC19" s="181">
        <v>0.81</v>
      </c>
      <c r="BD19" s="181">
        <v>0.65</v>
      </c>
    </row>
    <row r="20" spans="1:58" ht="13.5">
      <c r="A20">
        <v>0.74114119734658801</v>
      </c>
      <c r="B20">
        <v>0.28610198286008398</v>
      </c>
      <c r="G20">
        <v>0.65</v>
      </c>
      <c r="H20">
        <f t="shared" si="0"/>
        <v>0.30907974999999999</v>
      </c>
      <c r="V20" s="197" t="s">
        <v>419</v>
      </c>
      <c r="AB20" s="1368"/>
      <c r="AC20" s="1369"/>
      <c r="AD20" s="1369"/>
      <c r="AE20" s="1369"/>
      <c r="AF20" s="1369"/>
      <c r="AG20" s="1369"/>
      <c r="AH20" s="1369"/>
      <c r="AI20" s="1369"/>
      <c r="AJ20" s="1369"/>
      <c r="AK20" s="1369"/>
      <c r="AL20" s="1310"/>
      <c r="AM20" s="174" t="s">
        <v>413</v>
      </c>
      <c r="AN20" s="175" t="s">
        <v>402</v>
      </c>
      <c r="AO20" s="183">
        <v>2</v>
      </c>
      <c r="AP20" s="183" t="str">
        <f t="shared" ref="AP20:AP27" si="6">+_xlfn.CONCAT(AM20,AO20)</f>
        <v>Sur2</v>
      </c>
      <c r="AQ20" s="184">
        <v>0.87</v>
      </c>
      <c r="AR20" s="184">
        <v>0.64</v>
      </c>
      <c r="AS20" s="184">
        <v>0.39</v>
      </c>
      <c r="AT20" s="184">
        <v>0.22</v>
      </c>
      <c r="AV20" s="1305"/>
      <c r="AW20" s="1310"/>
      <c r="AX20" s="175" t="s">
        <v>399</v>
      </c>
      <c r="AY20" s="175">
        <v>2</v>
      </c>
      <c r="AZ20" s="175" t="str">
        <f t="shared" ref="AZ20:AZ22" si="7">+_xlfn.CONCAT($AW$19,AY20)</f>
        <v>Oeste2</v>
      </c>
      <c r="BA20" s="181">
        <v>0.86</v>
      </c>
      <c r="BB20" s="181">
        <v>0.82</v>
      </c>
      <c r="BC20" s="181">
        <v>0.76</v>
      </c>
      <c r="BD20" s="181">
        <v>0.61</v>
      </c>
    </row>
    <row r="21" spans="1:58" ht="13.5">
      <c r="A21">
        <v>0.75281016157304204</v>
      </c>
      <c r="B21">
        <v>0.28364725318628897</v>
      </c>
      <c r="G21">
        <v>0.66</v>
      </c>
      <c r="H21">
        <f t="shared" si="0"/>
        <v>0.30618115999999995</v>
      </c>
      <c r="P21" s="200" t="s">
        <v>420</v>
      </c>
      <c r="Q21" s="200" t="s">
        <v>421</v>
      </c>
      <c r="R21" s="200" t="s">
        <v>422</v>
      </c>
      <c r="S21" s="200" t="s">
        <v>423</v>
      </c>
      <c r="T21" s="200" t="s">
        <v>424</v>
      </c>
      <c r="U21" s="197" t="s">
        <v>425</v>
      </c>
      <c r="V21" s="60">
        <v>0.4</v>
      </c>
      <c r="AB21" s="1370"/>
      <c r="AC21" s="1371"/>
      <c r="AD21" s="1371"/>
      <c r="AE21" s="1371"/>
      <c r="AF21" s="1371"/>
      <c r="AG21" s="1371"/>
      <c r="AH21" s="1371"/>
      <c r="AI21" s="1371"/>
      <c r="AJ21" s="1371"/>
      <c r="AK21" s="1371"/>
      <c r="AL21" s="1310"/>
      <c r="AM21" s="174" t="s">
        <v>413</v>
      </c>
      <c r="AN21" s="189" t="s">
        <v>406</v>
      </c>
      <c r="AO21" s="183">
        <v>3</v>
      </c>
      <c r="AP21" s="183" t="str">
        <f t="shared" si="6"/>
        <v>Sur3</v>
      </c>
      <c r="AQ21" s="190">
        <v>0.93</v>
      </c>
      <c r="AR21" s="190">
        <v>0.82</v>
      </c>
      <c r="AS21" s="190">
        <v>0.6</v>
      </c>
      <c r="AT21" s="190">
        <v>0.39</v>
      </c>
      <c r="AV21" s="1305"/>
      <c r="AW21" s="1310"/>
      <c r="AX21" s="175" t="s">
        <v>403</v>
      </c>
      <c r="AY21" s="175">
        <v>3</v>
      </c>
      <c r="AZ21" s="175" t="str">
        <f t="shared" si="7"/>
        <v>Oeste3</v>
      </c>
      <c r="BA21" s="181">
        <v>0.71</v>
      </c>
      <c r="BB21" s="181">
        <v>0.68</v>
      </c>
      <c r="BC21" s="181">
        <v>0.61</v>
      </c>
      <c r="BD21" s="181">
        <v>0.51</v>
      </c>
    </row>
    <row r="22" spans="1:58" ht="26.25">
      <c r="A22">
        <v>0.76448272510986903</v>
      </c>
      <c r="B22">
        <v>0.27995796005485302</v>
      </c>
      <c r="G22">
        <v>0.67</v>
      </c>
      <c r="H22">
        <f t="shared" si="0"/>
        <v>0.30335478999999999</v>
      </c>
      <c r="P22" s="201" t="s">
        <v>426</v>
      </c>
      <c r="Q22" s="202">
        <v>0.4</v>
      </c>
      <c r="R22" s="202">
        <v>0.7</v>
      </c>
      <c r="S22" s="203">
        <f>+(0.25-0.4)/(0.7-0.4)</f>
        <v>-0.50000000000000022</v>
      </c>
      <c r="T22" s="204">
        <v>0.4</v>
      </c>
      <c r="U22" s="205">
        <v>0.25</v>
      </c>
      <c r="V22" s="60">
        <v>0.3</v>
      </c>
      <c r="AL22" s="1327" t="s">
        <v>413</v>
      </c>
      <c r="AM22" s="174" t="s">
        <v>427</v>
      </c>
      <c r="AN22" s="191" t="s">
        <v>398</v>
      </c>
      <c r="AO22" s="183">
        <v>1</v>
      </c>
      <c r="AP22" s="183" t="str">
        <f t="shared" si="6"/>
        <v>SurEste1</v>
      </c>
      <c r="AQ22" s="192">
        <v>0.9</v>
      </c>
      <c r="AR22" s="192">
        <v>0.71</v>
      </c>
      <c r="AS22" s="192">
        <v>0.43</v>
      </c>
      <c r="AT22" s="192">
        <v>0.16</v>
      </c>
      <c r="AV22" s="1306"/>
      <c r="AW22" s="1322"/>
      <c r="AX22" s="175" t="s">
        <v>407</v>
      </c>
      <c r="AY22" s="175">
        <v>4</v>
      </c>
      <c r="AZ22" s="175" t="str">
        <f t="shared" si="7"/>
        <v>Oeste4</v>
      </c>
      <c r="BA22" s="181">
        <v>0.53</v>
      </c>
      <c r="BB22" s="181">
        <v>0.51</v>
      </c>
      <c r="BC22" s="181">
        <v>0.48</v>
      </c>
      <c r="BD22" s="181">
        <v>0.39</v>
      </c>
    </row>
    <row r="23" spans="1:58" ht="26.25">
      <c r="A23">
        <v>0.77615168933632295</v>
      </c>
      <c r="B23">
        <v>0.27750323038105901</v>
      </c>
      <c r="G23">
        <v>0.68</v>
      </c>
      <c r="H23">
        <f t="shared" si="0"/>
        <v>0.30060063999999997</v>
      </c>
      <c r="P23" s="200" t="s">
        <v>428</v>
      </c>
      <c r="Q23" s="202">
        <v>0.4</v>
      </c>
      <c r="R23" s="202">
        <v>0.7</v>
      </c>
      <c r="S23" s="203">
        <f>+(0.3-0.2)/(0.4-0.7)</f>
        <v>-0.33333333333333331</v>
      </c>
      <c r="T23" s="204">
        <v>0.4</v>
      </c>
      <c r="U23" s="205">
        <v>0.2</v>
      </c>
      <c r="AL23" s="1310"/>
      <c r="AM23" s="174" t="s">
        <v>427</v>
      </c>
      <c r="AN23" s="193" t="s">
        <v>402</v>
      </c>
      <c r="AO23" s="183">
        <v>2</v>
      </c>
      <c r="AP23" s="183" t="str">
        <f t="shared" si="6"/>
        <v>SurEste2</v>
      </c>
      <c r="AQ23" s="187">
        <v>0.94</v>
      </c>
      <c r="AR23" s="187">
        <v>0.82</v>
      </c>
      <c r="AS23" s="187">
        <v>0.6</v>
      </c>
      <c r="AT23" s="187">
        <v>0.27</v>
      </c>
    </row>
    <row r="24" spans="1:58" ht="26.25">
      <c r="A24">
        <v>0.78635933355169096</v>
      </c>
      <c r="B24">
        <v>0.27628126450971902</v>
      </c>
      <c r="G24">
        <v>0.69</v>
      </c>
      <c r="H24">
        <f t="shared" si="0"/>
        <v>0.29791870999999992</v>
      </c>
      <c r="P24" s="200"/>
      <c r="Q24" s="200"/>
      <c r="R24" s="200"/>
      <c r="S24" s="201"/>
      <c r="T24" s="201"/>
      <c r="U24" s="205"/>
      <c r="AL24" s="1310"/>
      <c r="AM24" s="174" t="s">
        <v>427</v>
      </c>
      <c r="AN24" s="193" t="s">
        <v>406</v>
      </c>
      <c r="AO24" s="183">
        <v>3</v>
      </c>
      <c r="AP24" s="183" t="str">
        <f t="shared" si="6"/>
        <v>SurEste3</v>
      </c>
      <c r="AQ24" s="187">
        <v>0.98</v>
      </c>
      <c r="AR24" s="187">
        <v>0.93</v>
      </c>
      <c r="AS24" s="187">
        <v>0.84</v>
      </c>
      <c r="AT24" s="187">
        <v>0.65</v>
      </c>
    </row>
    <row r="25" spans="1:58" ht="32.25">
      <c r="A25">
        <v>0.79802469846777302</v>
      </c>
      <c r="B25">
        <v>0.27506109829356601</v>
      </c>
      <c r="G25">
        <v>0.7</v>
      </c>
      <c r="H25">
        <f t="shared" si="0"/>
        <v>0.29530899999999993</v>
      </c>
      <c r="Q25" s="205"/>
      <c r="R25" s="205"/>
      <c r="S25" s="205"/>
      <c r="T25" s="205"/>
      <c r="U25" s="205"/>
      <c r="AL25" s="1327" t="s">
        <v>413</v>
      </c>
      <c r="AM25" s="174" t="s">
        <v>429</v>
      </c>
      <c r="AN25" s="175" t="s">
        <v>398</v>
      </c>
      <c r="AO25" s="183">
        <v>1</v>
      </c>
      <c r="AP25" s="183" t="str">
        <f t="shared" si="6"/>
        <v>SurOeste1</v>
      </c>
      <c r="AQ25" s="184">
        <v>0.9</v>
      </c>
      <c r="AR25" s="184">
        <v>0.71</v>
      </c>
      <c r="AS25" s="184">
        <v>0.43</v>
      </c>
      <c r="AT25" s="184">
        <v>0.16</v>
      </c>
    </row>
    <row r="26" spans="1:58" ht="32.25">
      <c r="A26">
        <v>0.80969366269422705</v>
      </c>
      <c r="B26">
        <v>0.272606368619772</v>
      </c>
      <c r="G26">
        <v>0.71</v>
      </c>
      <c r="H26">
        <f t="shared" si="0"/>
        <v>0.29277150999999996</v>
      </c>
      <c r="J26" t="s">
        <v>430</v>
      </c>
      <c r="O26" t="s">
        <v>431</v>
      </c>
      <c r="Q26" s="205"/>
      <c r="R26" s="205"/>
      <c r="S26" s="205"/>
      <c r="T26" s="205"/>
      <c r="U26" s="205"/>
      <c r="AL26" s="1327"/>
      <c r="AM26" s="174" t="s">
        <v>429</v>
      </c>
      <c r="AN26" s="175" t="s">
        <v>402</v>
      </c>
      <c r="AO26" s="183">
        <v>2</v>
      </c>
      <c r="AP26" s="183" t="str">
        <f t="shared" si="6"/>
        <v>SurOeste2</v>
      </c>
      <c r="AQ26" s="184">
        <v>0.94</v>
      </c>
      <c r="AR26" s="184">
        <v>0.82</v>
      </c>
      <c r="AS26" s="184">
        <v>0.6</v>
      </c>
      <c r="AT26" s="184">
        <v>0.27</v>
      </c>
    </row>
    <row r="27" spans="1:58" ht="26.25">
      <c r="A27">
        <v>0.82427806832210904</v>
      </c>
      <c r="B27">
        <v>0.27015523825635002</v>
      </c>
      <c r="G27">
        <v>0.72</v>
      </c>
      <c r="H27">
        <f t="shared" si="0"/>
        <v>0.29030623999999994</v>
      </c>
      <c r="O27" s="200"/>
      <c r="P27" s="1372" t="s">
        <v>432</v>
      </c>
      <c r="Q27" s="1372"/>
      <c r="R27" s="1372"/>
      <c r="S27" s="1372"/>
      <c r="T27" s="1372"/>
      <c r="AL27" s="1327"/>
      <c r="AM27" s="174" t="s">
        <v>429</v>
      </c>
      <c r="AN27" s="175" t="s">
        <v>406</v>
      </c>
      <c r="AO27" s="183">
        <v>3</v>
      </c>
      <c r="AP27" s="183" t="str">
        <f t="shared" si="6"/>
        <v>SurOeste3</v>
      </c>
      <c r="AQ27" s="184">
        <v>0.98</v>
      </c>
      <c r="AR27" s="184">
        <v>0.93</v>
      </c>
      <c r="AS27" s="184">
        <v>0.84</v>
      </c>
      <c r="AT27" s="184">
        <v>0.65</v>
      </c>
    </row>
    <row r="28" spans="1:58" ht="21" customHeight="1" thickBot="1">
      <c r="A28">
        <v>0.83595063185893503</v>
      </c>
      <c r="B28">
        <v>0.26646594512491401</v>
      </c>
      <c r="G28">
        <v>0.73</v>
      </c>
      <c r="H28">
        <f t="shared" si="0"/>
        <v>0.28791318999999993</v>
      </c>
      <c r="J28" s="207" t="s">
        <v>433</v>
      </c>
      <c r="K28" s="208" t="s">
        <v>434</v>
      </c>
      <c r="L28" s="208" t="s">
        <v>435</v>
      </c>
      <c r="M28" s="208" t="s">
        <v>436</v>
      </c>
      <c r="O28" s="209" t="s">
        <v>437</v>
      </c>
      <c r="P28" s="209" t="s">
        <v>438</v>
      </c>
      <c r="Q28" s="210" t="s">
        <v>439</v>
      </c>
      <c r="R28" s="210" t="s">
        <v>440</v>
      </c>
      <c r="S28" s="210" t="s">
        <v>441</v>
      </c>
      <c r="T28" s="210" t="s">
        <v>442</v>
      </c>
    </row>
    <row r="29" spans="1:58" ht="14.25">
      <c r="A29">
        <v>0.85199275818753095</v>
      </c>
      <c r="B29">
        <v>0.26401661441667701</v>
      </c>
      <c r="G29">
        <v>0.74</v>
      </c>
      <c r="H29">
        <f t="shared" si="0"/>
        <v>0.28559235999999999</v>
      </c>
      <c r="J29" s="211" t="s">
        <v>443</v>
      </c>
      <c r="K29" s="212">
        <v>0.2</v>
      </c>
      <c r="L29" s="212">
        <v>0.3</v>
      </c>
      <c r="M29" s="213" t="s">
        <v>444</v>
      </c>
      <c r="O29" s="214" t="s">
        <v>445</v>
      </c>
      <c r="P29" s="215">
        <v>0</v>
      </c>
      <c r="Q29" s="216">
        <v>0.7</v>
      </c>
      <c r="R29" s="216">
        <v>0.5</v>
      </c>
      <c r="S29" s="217">
        <v>0.3</v>
      </c>
      <c r="T29" s="217">
        <v>0.1</v>
      </c>
      <c r="AW29" s="218" t="s">
        <v>446</v>
      </c>
      <c r="AX29" s="219" t="e">
        <f>+VLOOKUP('A5'!D14,'Formula limites'!O29:P31,2,0)</f>
        <v>#N/A</v>
      </c>
      <c r="AY29" s="1391" t="s">
        <v>447</v>
      </c>
      <c r="AZ29" s="1391"/>
      <c r="BA29" s="1391"/>
      <c r="BB29" s="1391"/>
      <c r="BC29" s="1373" t="s">
        <v>448</v>
      </c>
      <c r="BD29" s="1374"/>
      <c r="BE29" s="1374"/>
      <c r="BF29" s="1375"/>
    </row>
    <row r="30" spans="1:58" ht="38.25">
      <c r="A30">
        <v>0.87094672660718198</v>
      </c>
      <c r="B30">
        <v>0.26280544647645498</v>
      </c>
      <c r="G30">
        <v>0.75</v>
      </c>
      <c r="H30">
        <f t="shared" si="0"/>
        <v>0.28334375000000001</v>
      </c>
      <c r="J30" s="211" t="s">
        <v>449</v>
      </c>
      <c r="K30" s="220">
        <v>0.3</v>
      </c>
      <c r="L30" s="220">
        <v>0.5</v>
      </c>
      <c r="M30" s="220">
        <v>0.7</v>
      </c>
      <c r="O30" s="214" t="s">
        <v>450</v>
      </c>
      <c r="P30" s="221">
        <v>0.2</v>
      </c>
      <c r="Q30" s="221">
        <v>0.6</v>
      </c>
      <c r="R30" s="221">
        <v>0.4</v>
      </c>
      <c r="S30" s="221">
        <v>0.2</v>
      </c>
      <c r="T30" s="221">
        <v>0.1</v>
      </c>
      <c r="AW30" s="222" t="s">
        <v>451</v>
      </c>
      <c r="AX30" s="161" t="e">
        <f>+VLOOKUP('A5'!D14,'Formula limites'!O29:T31,MATCH('A5'!D15,'Formula limites'!Q28:T28,0)+2,0)</f>
        <v>#N/A</v>
      </c>
      <c r="AY30" s="1382" t="s">
        <v>452</v>
      </c>
      <c r="AZ30" s="1382"/>
      <c r="BA30" s="1382"/>
      <c r="BB30" s="1382"/>
      <c r="BC30" s="1376"/>
      <c r="BD30" s="1377"/>
      <c r="BE30" s="1377"/>
      <c r="BF30" s="1378"/>
    </row>
    <row r="31" spans="1:58" ht="38.25">
      <c r="A31">
        <v>0.89428105574971795</v>
      </c>
      <c r="B31">
        <v>0.25913055058650702</v>
      </c>
      <c r="G31">
        <v>0.76</v>
      </c>
      <c r="H31">
        <f t="shared" si="0"/>
        <v>0.28116735999999998</v>
      </c>
      <c r="J31" s="211" t="s">
        <v>453</v>
      </c>
      <c r="K31" s="212">
        <v>0.35</v>
      </c>
      <c r="L31" s="212">
        <v>0.55000000000000004</v>
      </c>
      <c r="M31" s="212">
        <v>0.75</v>
      </c>
      <c r="O31" s="214" t="s">
        <v>454</v>
      </c>
      <c r="P31" s="223">
        <v>0.4</v>
      </c>
      <c r="Q31" s="223">
        <v>0.4</v>
      </c>
      <c r="R31" s="223">
        <v>0.3</v>
      </c>
      <c r="S31" s="223">
        <v>0.2</v>
      </c>
      <c r="T31" s="223">
        <v>0.1</v>
      </c>
      <c r="AO31" s="198" t="s">
        <v>455</v>
      </c>
      <c r="AP31" s="198"/>
      <c r="AQ31" s="199">
        <v>0.8</v>
      </c>
      <c r="AW31" s="222" t="s">
        <v>456</v>
      </c>
      <c r="AX31" s="224" t="e">
        <f>1-AX29-AX30</f>
        <v>#N/A</v>
      </c>
      <c r="AY31" s="1383" t="s">
        <v>457</v>
      </c>
      <c r="AZ31" s="1383"/>
      <c r="BA31" s="1383"/>
      <c r="BB31" s="1383"/>
      <c r="BC31" s="1379"/>
      <c r="BD31" s="1380"/>
      <c r="BE31" s="1380"/>
      <c r="BF31" s="1381"/>
    </row>
    <row r="32" spans="1:58" ht="15.75">
      <c r="A32">
        <v>0.91177730346865504</v>
      </c>
      <c r="B32">
        <v>0.25791758299109802</v>
      </c>
      <c r="G32">
        <v>0.77</v>
      </c>
      <c r="H32">
        <f t="shared" si="0"/>
        <v>0.27906319000000002</v>
      </c>
      <c r="J32" s="211" t="s">
        <v>458</v>
      </c>
      <c r="K32" s="220">
        <v>0.5</v>
      </c>
      <c r="L32" s="220">
        <v>0.75</v>
      </c>
      <c r="M32" s="220">
        <v>0.92</v>
      </c>
      <c r="AO32" s="198" t="s">
        <v>459</v>
      </c>
      <c r="AP32" s="198"/>
      <c r="AQ32" s="199">
        <v>0.2</v>
      </c>
      <c r="AW32" s="225"/>
      <c r="AX32" s="159"/>
      <c r="AY32" s="1384"/>
      <c r="AZ32" s="1384"/>
      <c r="BA32" s="1384"/>
      <c r="BB32" s="1384"/>
      <c r="BC32" s="226"/>
      <c r="BD32" s="226"/>
      <c r="BE32" s="226"/>
      <c r="BF32" s="227"/>
    </row>
    <row r="33" spans="1:58" ht="14.25">
      <c r="A33">
        <v>0.93802347470224701</v>
      </c>
      <c r="B33">
        <v>0.25548084986916503</v>
      </c>
      <c r="G33">
        <v>0.78</v>
      </c>
      <c r="H33">
        <f t="shared" si="0"/>
        <v>0.2770312399999999</v>
      </c>
      <c r="J33" s="211" t="s">
        <v>460</v>
      </c>
      <c r="K33" s="212">
        <v>0.65</v>
      </c>
      <c r="L33" s="212">
        <v>0.8</v>
      </c>
      <c r="M33" s="212">
        <v>0.9</v>
      </c>
      <c r="AO33" s="198" t="s">
        <v>461</v>
      </c>
      <c r="AP33" s="206"/>
      <c r="AQ33" t="s">
        <v>462</v>
      </c>
      <c r="AW33" s="1385" t="s">
        <v>463</v>
      </c>
      <c r="AX33" s="1386"/>
      <c r="AY33" s="1387" t="s">
        <v>353</v>
      </c>
      <c r="AZ33" s="1388"/>
      <c r="BA33" s="1388"/>
      <c r="BB33" s="1386"/>
      <c r="BC33" s="1389" t="s">
        <v>464</v>
      </c>
      <c r="BD33" s="1389"/>
      <c r="BE33" s="1389"/>
      <c r="BF33" s="1390"/>
    </row>
    <row r="34" spans="1:58" ht="14.25">
      <c r="A34">
        <v>0.94677339821690099</v>
      </c>
      <c r="B34">
        <v>0.25425708434263999</v>
      </c>
      <c r="G34">
        <v>0.79</v>
      </c>
      <c r="H34">
        <f t="shared" si="0"/>
        <v>0.27507150999999991</v>
      </c>
      <c r="J34" s="211" t="s">
        <v>465</v>
      </c>
      <c r="K34" s="220">
        <v>0.4</v>
      </c>
      <c r="L34" s="220">
        <v>0.7</v>
      </c>
      <c r="M34" s="220">
        <v>0.88</v>
      </c>
      <c r="AN34" t="e">
        <f>+VLOOKUP(AQ33,AM4:AT18,3,0)</f>
        <v>#N/A</v>
      </c>
      <c r="AW34" s="228" t="s">
        <v>466</v>
      </c>
      <c r="AX34" s="229">
        <v>30</v>
      </c>
      <c r="AY34" s="1383" t="s">
        <v>467</v>
      </c>
      <c r="AZ34" s="1383"/>
      <c r="BA34" s="1383"/>
      <c r="BB34" s="1383"/>
      <c r="BC34" s="1392" t="s">
        <v>468</v>
      </c>
      <c r="BD34" s="1393"/>
      <c r="BE34" s="1393"/>
      <c r="BF34" s="1394"/>
    </row>
    <row r="35" spans="1:58" ht="14.25">
      <c r="A35">
        <v>0.96865000665872403</v>
      </c>
      <c r="B35">
        <v>0.25058038879750599</v>
      </c>
      <c r="G35">
        <v>0.8</v>
      </c>
      <c r="H35">
        <f t="shared" si="0"/>
        <v>0.27318399999999993</v>
      </c>
      <c r="J35" s="211" t="s">
        <v>469</v>
      </c>
      <c r="K35" s="212">
        <v>0.5</v>
      </c>
      <c r="L35" s="212">
        <v>0.8</v>
      </c>
      <c r="M35" s="212">
        <v>0.95</v>
      </c>
      <c r="AN35" t="e">
        <f>+MATCH(0.4,AO4:AO18,0)</f>
        <v>#N/A</v>
      </c>
      <c r="AW35" s="228" t="s">
        <v>470</v>
      </c>
      <c r="AX35" s="224" t="e">
        <f>(1/'A5'!C4+1/AX34)^(-1)</f>
        <v>#DIV/0!</v>
      </c>
      <c r="AY35" s="1383" t="s">
        <v>471</v>
      </c>
      <c r="AZ35" s="1383"/>
      <c r="BA35" s="1383"/>
      <c r="BB35" s="1383"/>
      <c r="BC35" s="1392"/>
      <c r="BD35" s="1393"/>
      <c r="BE35" s="1393"/>
      <c r="BF35" s="1394"/>
    </row>
    <row r="36" spans="1:58" ht="45.6" customHeight="1">
      <c r="A36">
        <v>0.99051581716943005</v>
      </c>
      <c r="B36">
        <v>0.250607383625297</v>
      </c>
      <c r="G36">
        <v>0.81</v>
      </c>
      <c r="H36">
        <f t="shared" si="0"/>
        <v>0.27136870999999996</v>
      </c>
      <c r="J36" s="211" t="s">
        <v>472</v>
      </c>
      <c r="K36" s="220">
        <v>0.4</v>
      </c>
      <c r="L36" s="220">
        <v>0.65</v>
      </c>
      <c r="M36" s="230" t="s">
        <v>444</v>
      </c>
      <c r="AW36" s="231" t="s">
        <v>473</v>
      </c>
      <c r="AX36" s="232" t="e">
        <f>'A5'!C5*(1-('A5'!C5*AX30)-AX31*(AX35/AX34))</f>
        <v>#N/A</v>
      </c>
      <c r="AY36" s="1383" t="s">
        <v>474</v>
      </c>
      <c r="AZ36" s="1383"/>
      <c r="BA36" s="1383"/>
      <c r="BB36" s="1383"/>
      <c r="BC36" s="1395"/>
      <c r="BD36" s="1396"/>
      <c r="BE36" s="1396"/>
      <c r="BF36" s="1397"/>
    </row>
    <row r="37" spans="1:58" ht="15.75">
      <c r="A37">
        <v>1</v>
      </c>
      <c r="B37">
        <v>0.24938001878839999</v>
      </c>
      <c r="G37">
        <v>0.82</v>
      </c>
      <c r="H37">
        <f t="shared" si="0"/>
        <v>0.26962563999999994</v>
      </c>
      <c r="J37" s="211" t="s">
        <v>475</v>
      </c>
      <c r="K37" s="213" t="s">
        <v>444</v>
      </c>
      <c r="L37" s="212">
        <v>0.96</v>
      </c>
      <c r="M37" s="213" t="s">
        <v>444</v>
      </c>
      <c r="AW37" s="225"/>
      <c r="AX37" s="159"/>
      <c r="AY37" s="158"/>
      <c r="AZ37" s="160"/>
      <c r="BA37" s="158"/>
      <c r="BB37" s="158"/>
      <c r="BC37" s="157"/>
      <c r="BD37" s="157"/>
      <c r="BE37" s="157"/>
      <c r="BF37" s="233"/>
    </row>
    <row r="38" spans="1:58" ht="14.25">
      <c r="G38">
        <v>0.83</v>
      </c>
      <c r="H38">
        <f t="shared" si="0"/>
        <v>0.26795479</v>
      </c>
      <c r="AW38" s="1385" t="s">
        <v>393</v>
      </c>
      <c r="AX38" s="1386"/>
      <c r="AY38" s="1387" t="s">
        <v>353</v>
      </c>
      <c r="AZ38" s="1388"/>
      <c r="BA38" s="1388"/>
      <c r="BB38" s="1386"/>
      <c r="BC38" s="1389" t="s">
        <v>464</v>
      </c>
      <c r="BD38" s="1389"/>
      <c r="BE38" s="1389"/>
      <c r="BF38" s="1390"/>
    </row>
    <row r="39" spans="1:58" ht="14.25">
      <c r="G39">
        <v>0.84</v>
      </c>
      <c r="H39">
        <f t="shared" si="0"/>
        <v>0.26635615999999995</v>
      </c>
      <c r="AW39" s="228" t="s">
        <v>476</v>
      </c>
      <c r="AX39" s="229">
        <v>5</v>
      </c>
      <c r="AY39" s="1383" t="s">
        <v>467</v>
      </c>
      <c r="AZ39" s="1383"/>
      <c r="BA39" s="1383"/>
      <c r="BB39" s="1383"/>
      <c r="BC39" s="1398" t="s">
        <v>468</v>
      </c>
      <c r="BD39" s="1399"/>
      <c r="BE39" s="1399"/>
      <c r="BF39" s="1400"/>
    </row>
    <row r="40" spans="1:58" ht="14.25">
      <c r="G40">
        <v>0.85</v>
      </c>
      <c r="H40">
        <f t="shared" si="0"/>
        <v>0.26482974999999997</v>
      </c>
      <c r="AW40" s="228" t="s">
        <v>466</v>
      </c>
      <c r="AX40" s="229">
        <v>10</v>
      </c>
      <c r="AY40" s="1383" t="s">
        <v>467</v>
      </c>
      <c r="AZ40" s="1383"/>
      <c r="BA40" s="1383"/>
      <c r="BB40" s="1383"/>
      <c r="BC40" s="1392"/>
      <c r="BD40" s="1393"/>
      <c r="BE40" s="1393"/>
      <c r="BF40" s="1394"/>
    </row>
    <row r="41" spans="1:58" ht="14.25">
      <c r="G41">
        <v>0.86</v>
      </c>
      <c r="H41">
        <f t="shared" si="0"/>
        <v>0.26337555999999995</v>
      </c>
      <c r="AW41" s="228" t="s">
        <v>470</v>
      </c>
      <c r="AX41" s="224" t="e">
        <f>(1/'A5'!C4+1/AX39+1/AX40)^(-1)</f>
        <v>#DIV/0!</v>
      </c>
      <c r="AY41" s="1383" t="s">
        <v>471</v>
      </c>
      <c r="AZ41" s="1383"/>
      <c r="BA41" s="1383"/>
      <c r="BB41" s="1383"/>
      <c r="BC41" s="1392"/>
      <c r="BD41" s="1393"/>
      <c r="BE41" s="1393"/>
      <c r="BF41" s="1394"/>
    </row>
    <row r="42" spans="1:58" ht="43.35" customHeight="1" thickBot="1">
      <c r="G42">
        <v>0.87</v>
      </c>
      <c r="H42">
        <f t="shared" si="0"/>
        <v>0.26199358999999989</v>
      </c>
      <c r="AW42" s="234" t="s">
        <v>477</v>
      </c>
      <c r="AX42" s="235" t="e">
        <f>(AX29*'A5'!C5)+(AX31*(AX41/AX40))+(AX29*(1-'A5'!C5)*AX41/AX39)</f>
        <v>#N/A</v>
      </c>
      <c r="AY42" s="1404" t="s">
        <v>478</v>
      </c>
      <c r="AZ42" s="1404"/>
      <c r="BA42" s="1404"/>
      <c r="BB42" s="1404"/>
      <c r="BC42" s="1401"/>
      <c r="BD42" s="1402"/>
      <c r="BE42" s="1402"/>
      <c r="BF42" s="1403"/>
    </row>
    <row r="43" spans="1:58">
      <c r="G43">
        <v>0.88</v>
      </c>
      <c r="H43">
        <f t="shared" si="0"/>
        <v>0.26068383999999989</v>
      </c>
    </row>
    <row r="44" spans="1:58">
      <c r="G44">
        <v>0.89</v>
      </c>
      <c r="H44">
        <f t="shared" si="0"/>
        <v>0.2594463099999999</v>
      </c>
    </row>
    <row r="45" spans="1:58">
      <c r="G45">
        <v>0.9</v>
      </c>
      <c r="H45">
        <f t="shared" si="0"/>
        <v>0.25828099999999993</v>
      </c>
    </row>
    <row r="46" spans="1:58">
      <c r="G46">
        <v>0.91</v>
      </c>
      <c r="H46">
        <f t="shared" si="0"/>
        <v>0.25718790999999991</v>
      </c>
    </row>
    <row r="47" spans="1:58">
      <c r="G47">
        <v>0.92</v>
      </c>
      <c r="H47">
        <f t="shared" si="0"/>
        <v>0.2561670399999999</v>
      </c>
    </row>
    <row r="48" spans="1:58">
      <c r="G48">
        <v>0.93</v>
      </c>
      <c r="H48">
        <f t="shared" si="0"/>
        <v>0.25521838999999996</v>
      </c>
    </row>
    <row r="49" spans="7:8">
      <c r="G49">
        <v>0.94</v>
      </c>
      <c r="H49">
        <f t="shared" si="0"/>
        <v>0.25434196000000003</v>
      </c>
    </row>
    <row r="50" spans="7:8">
      <c r="G50">
        <v>0.95</v>
      </c>
      <c r="H50">
        <f t="shared" si="0"/>
        <v>0.2535377499999999</v>
      </c>
    </row>
    <row r="51" spans="7:8">
      <c r="G51">
        <v>0.96</v>
      </c>
      <c r="H51">
        <f t="shared" si="0"/>
        <v>0.25280575999999993</v>
      </c>
    </row>
    <row r="52" spans="7:8">
      <c r="G52">
        <v>0.97</v>
      </c>
      <c r="H52">
        <f t="shared" si="0"/>
        <v>0.25214598999999993</v>
      </c>
    </row>
    <row r="53" spans="7:8">
      <c r="G53">
        <v>0.98</v>
      </c>
      <c r="H53">
        <f t="shared" si="0"/>
        <v>0.25155843999999988</v>
      </c>
    </row>
    <row r="54" spans="7:8">
      <c r="G54">
        <v>0.99</v>
      </c>
      <c r="H54">
        <f t="shared" si="0"/>
        <v>0.2510431099999999</v>
      </c>
    </row>
    <row r="55" spans="7:8">
      <c r="G55">
        <v>1</v>
      </c>
      <c r="H55">
        <f t="shared" si="0"/>
        <v>0.25059999999999993</v>
      </c>
    </row>
  </sheetData>
  <mergeCells count="74">
    <mergeCell ref="AY39:BB39"/>
    <mergeCell ref="BC39:BF42"/>
    <mergeCell ref="AY40:BB40"/>
    <mergeCell ref="AY41:BB41"/>
    <mergeCell ref="AY42:BB42"/>
    <mergeCell ref="AY34:BB34"/>
    <mergeCell ref="BC34:BF36"/>
    <mergeCell ref="AY35:BB35"/>
    <mergeCell ref="AY36:BB36"/>
    <mergeCell ref="AW38:AX38"/>
    <mergeCell ref="AY38:BB38"/>
    <mergeCell ref="BC38:BF38"/>
    <mergeCell ref="AY32:BB32"/>
    <mergeCell ref="AW33:AX33"/>
    <mergeCell ref="AY33:BB33"/>
    <mergeCell ref="BC33:BF33"/>
    <mergeCell ref="AY29:BB29"/>
    <mergeCell ref="AB19:AK21"/>
    <mergeCell ref="AW19:AW22"/>
    <mergeCell ref="P27:T27"/>
    <mergeCell ref="BC29:BF31"/>
    <mergeCell ref="AY30:BB30"/>
    <mergeCell ref="AY31:BB31"/>
    <mergeCell ref="AL19:AL21"/>
    <mergeCell ref="AL22:AL24"/>
    <mergeCell ref="AL25:AL27"/>
    <mergeCell ref="AB12:AG15"/>
    <mergeCell ref="AH12:AK15"/>
    <mergeCell ref="AL13:AL15"/>
    <mergeCell ref="AW15:AW18"/>
    <mergeCell ref="AB16:AF17"/>
    <mergeCell ref="AG16:AH17"/>
    <mergeCell ref="AI16:AK17"/>
    <mergeCell ref="AL16:AL18"/>
    <mergeCell ref="AB18:AF18"/>
    <mergeCell ref="AG18:AH18"/>
    <mergeCell ref="AI18:AK18"/>
    <mergeCell ref="AW7:AW10"/>
    <mergeCell ref="AB8:AD8"/>
    <mergeCell ref="AG8:AH10"/>
    <mergeCell ref="AI8:AJ8"/>
    <mergeCell ref="AB9:AF10"/>
    <mergeCell ref="AI9:AK10"/>
    <mergeCell ref="AL10:AL12"/>
    <mergeCell ref="AC11:AG11"/>
    <mergeCell ref="AH11:AJ11"/>
    <mergeCell ref="AK5:AK8"/>
    <mergeCell ref="AC6:AF6"/>
    <mergeCell ref="AG6:AJ6"/>
    <mergeCell ref="AC7:AD7"/>
    <mergeCell ref="AE7:AF8"/>
    <mergeCell ref="AG7:AJ7"/>
    <mergeCell ref="AW11:AW14"/>
    <mergeCell ref="BG1:BG2"/>
    <mergeCell ref="BH1:BJ1"/>
    <mergeCell ref="BL1:BL8"/>
    <mergeCell ref="BM1:BM2"/>
    <mergeCell ref="BN1:BT1"/>
    <mergeCell ref="BF1:BF8"/>
    <mergeCell ref="AJ4:AK4"/>
    <mergeCell ref="AL4:AL6"/>
    <mergeCell ref="AB5:AF5"/>
    <mergeCell ref="AI5:AJ5"/>
    <mergeCell ref="AB1:AG1"/>
    <mergeCell ref="AH1:AK2"/>
    <mergeCell ref="AL1:AN1"/>
    <mergeCell ref="AV1:AV22"/>
    <mergeCell ref="AW1:AX1"/>
    <mergeCell ref="AB2:AC2"/>
    <mergeCell ref="AD2:AG2"/>
    <mergeCell ref="AW2:AW6"/>
    <mergeCell ref="AB4:AE4"/>
    <mergeCell ref="AG4:AH5"/>
    <mergeCell ref="AL7:AL9"/>
  </mergeCells>
  <hyperlinks>
    <hyperlink ref="X1" location="Voladizo!A1" display="Voladizo!A1" xr:uid="{FA4FE537-FD03-4419-B963-FDC2A4144921}"/>
    <hyperlink ref="X2" location="Retranqueo!A1" display="Retranqueo!A1" xr:uid="{8C773E70-7CA4-4183-B560-CAB5AA243A30}"/>
    <hyperlink ref="X3" location="'Lama horizontal'!A1" display="Lama horizontal'!A1" xr:uid="{78388EE0-00C8-44AE-9C32-378AA76B0A3D}"/>
    <hyperlink ref="X4" location="'Lama vertical'!A1" display="'Lama vertical'!A1" xr:uid="{22397CFB-A301-4EC9-87C1-342BD000B02B}"/>
  </hyperlink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3F13-4210-4459-895D-DECCBA26D871}">
  <dimension ref="A1:R35"/>
  <sheetViews>
    <sheetView showGridLines="0" zoomScaleNormal="100" zoomScalePageLayoutView="80" workbookViewId="0">
      <selection activeCell="C18" sqref="C18"/>
    </sheetView>
  </sheetViews>
  <sheetFormatPr defaultColWidth="11.5703125" defaultRowHeight="12.75"/>
  <cols>
    <col min="1" max="1" width="5.28515625" customWidth="1"/>
    <col min="2" max="2" width="23.42578125" customWidth="1"/>
    <col min="3" max="5" width="13.7109375" customWidth="1"/>
    <col min="6" max="6" width="14.7109375" customWidth="1"/>
    <col min="7" max="8" width="13.7109375" customWidth="1"/>
    <col min="9" max="9" width="3.5703125" customWidth="1"/>
    <col min="10" max="10" width="12.7109375" customWidth="1"/>
    <col min="11" max="11" width="32" customWidth="1"/>
  </cols>
  <sheetData>
    <row r="1" spans="1:18" s="117" customFormat="1" ht="26.85" customHeight="1">
      <c r="A1" s="115" t="s">
        <v>479</v>
      </c>
      <c r="B1" s="116" t="s">
        <v>480</v>
      </c>
      <c r="C1" s="116" t="s">
        <v>481</v>
      </c>
      <c r="D1" s="116"/>
      <c r="F1" s="116"/>
      <c r="G1" s="116" t="s">
        <v>482</v>
      </c>
      <c r="H1" s="116"/>
    </row>
    <row r="2" spans="1:18" s="107" customFormat="1" ht="14.25">
      <c r="A2" s="105"/>
      <c r="B2" s="106"/>
      <c r="C2" s="106"/>
      <c r="D2" s="106"/>
      <c r="E2" s="106"/>
    </row>
    <row r="3" spans="1:18" s="25" customFormat="1">
      <c r="B3" s="25" t="s">
        <v>483</v>
      </c>
    </row>
    <row r="4" spans="1:18" ht="13.5" thickBot="1"/>
    <row r="5" spans="1:18" ht="57.6" customHeight="1" thickBot="1">
      <c r="B5" s="47" t="s">
        <v>484</v>
      </c>
      <c r="C5" s="58" t="s">
        <v>485</v>
      </c>
      <c r="D5" s="58" t="s">
        <v>486</v>
      </c>
      <c r="E5" s="58" t="s">
        <v>487</v>
      </c>
      <c r="F5" s="49" t="s">
        <v>488</v>
      </c>
      <c r="G5" s="64" t="s">
        <v>489</v>
      </c>
      <c r="H5" s="805" t="s">
        <v>177</v>
      </c>
      <c r="I5" s="13"/>
      <c r="J5" s="1410" t="s">
        <v>490</v>
      </c>
      <c r="K5" s="1410"/>
      <c r="M5" s="1059" t="s">
        <v>491</v>
      </c>
      <c r="N5" s="1059"/>
      <c r="O5" s="1059"/>
      <c r="P5" s="1059"/>
      <c r="Q5" s="1059"/>
      <c r="R5" s="1059"/>
    </row>
    <row r="6" spans="1:18">
      <c r="B6" s="75"/>
      <c r="C6" s="78"/>
      <c r="D6" s="78"/>
      <c r="E6" s="78"/>
      <c r="F6" s="802"/>
      <c r="G6" s="565">
        <f>IF('A1'!$C$6="C.Educacional",C6*0.08,C6*0.04)</f>
        <v>0</v>
      </c>
      <c r="H6" s="806" t="str">
        <f>IF(E6=0,"Completar ",IF(E6&gt;=G6,"Cumple","No cumple"))</f>
        <v xml:space="preserve">Completar </v>
      </c>
      <c r="J6" s="1410"/>
      <c r="K6" s="1410"/>
      <c r="M6" s="1059"/>
      <c r="N6" s="1059"/>
      <c r="O6" s="1059"/>
      <c r="P6" s="1059"/>
      <c r="Q6" s="1059"/>
      <c r="R6" s="1059"/>
    </row>
    <row r="7" spans="1:18">
      <c r="B7" s="75"/>
      <c r="C7" s="78"/>
      <c r="D7" s="78"/>
      <c r="E7" s="78"/>
      <c r="F7" s="803"/>
      <c r="G7" s="565">
        <f>IF('A1'!$C$6="C.Educacional",C7*0.08,C7*0.04)</f>
        <v>0</v>
      </c>
      <c r="H7" s="807" t="str">
        <f t="shared" ref="H7:H18" si="0">IF(E7=0,"Completar ",IF(E7&gt;=G7,"Cumple","No cumple"))</f>
        <v xml:space="preserve">Completar </v>
      </c>
      <c r="J7" s="1410"/>
      <c r="K7" s="1410"/>
      <c r="M7" s="1059"/>
      <c r="N7" s="1059"/>
      <c r="O7" s="1059"/>
      <c r="P7" s="1059"/>
      <c r="Q7" s="1059"/>
      <c r="R7" s="1059"/>
    </row>
    <row r="8" spans="1:18">
      <c r="B8" s="75"/>
      <c r="C8" s="77"/>
      <c r="D8" s="77"/>
      <c r="E8" s="78"/>
      <c r="F8" s="803"/>
      <c r="G8" s="565">
        <f>IF('A1'!$C$6="C.Educacional",C8*0.08,C8*0.04)</f>
        <v>0</v>
      </c>
      <c r="H8" s="807" t="str">
        <f>IF(E8=0,"Completar ",IF(E8&gt;=G8,"Cumple","No cumple"))</f>
        <v xml:space="preserve">Completar </v>
      </c>
      <c r="J8" s="1410"/>
      <c r="K8" s="1410"/>
      <c r="M8" s="1059"/>
      <c r="N8" s="1059"/>
      <c r="O8" s="1059"/>
      <c r="P8" s="1059"/>
      <c r="Q8" s="1059"/>
      <c r="R8" s="1059"/>
    </row>
    <row r="9" spans="1:18">
      <c r="B9" s="75"/>
      <c r="C9" s="78"/>
      <c r="D9" s="78"/>
      <c r="E9" s="78"/>
      <c r="F9" s="803"/>
      <c r="G9" s="565">
        <f>IF('A1'!$C$6="C.Educacional",C9*0.08,C9*0.04)</f>
        <v>0</v>
      </c>
      <c r="H9" s="807" t="str">
        <f t="shared" si="0"/>
        <v xml:space="preserve">Completar </v>
      </c>
      <c r="M9" s="1059"/>
      <c r="N9" s="1059"/>
      <c r="O9" s="1059"/>
      <c r="P9" s="1059"/>
      <c r="Q9" s="1059"/>
      <c r="R9" s="1059"/>
    </row>
    <row r="10" spans="1:18">
      <c r="B10" s="75"/>
      <c r="C10" s="78"/>
      <c r="D10" s="78"/>
      <c r="E10" s="78"/>
      <c r="F10" s="803"/>
      <c r="G10" s="565">
        <f>IF('A1'!$C$6="C.Educacional",C10*0.08,C10*0.04)</f>
        <v>0</v>
      </c>
      <c r="H10" s="807" t="str">
        <f t="shared" si="0"/>
        <v xml:space="preserve">Completar </v>
      </c>
      <c r="J10" s="1411" t="s">
        <v>492</v>
      </c>
      <c r="K10" s="1411"/>
      <c r="M10" s="1059"/>
      <c r="N10" s="1059"/>
      <c r="O10" s="1059"/>
      <c r="P10" s="1059"/>
      <c r="Q10" s="1059"/>
      <c r="R10" s="1059"/>
    </row>
    <row r="11" spans="1:18">
      <c r="B11" s="75"/>
      <c r="C11" s="78"/>
      <c r="D11" s="78"/>
      <c r="E11" s="78"/>
      <c r="F11" s="803"/>
      <c r="G11" s="565">
        <f>IF('A1'!$C$6="C.Educacional",C11*0.08,C11*0.04)</f>
        <v>0</v>
      </c>
      <c r="H11" s="807" t="str">
        <f t="shared" si="0"/>
        <v xml:space="preserve">Completar </v>
      </c>
      <c r="J11" s="1411"/>
      <c r="K11" s="1411"/>
      <c r="M11" s="1059"/>
      <c r="N11" s="1059"/>
      <c r="O11" s="1059"/>
      <c r="P11" s="1059"/>
      <c r="Q11" s="1059"/>
      <c r="R11" s="1059"/>
    </row>
    <row r="12" spans="1:18">
      <c r="B12" s="75"/>
      <c r="C12" s="78"/>
      <c r="D12" s="78"/>
      <c r="E12" s="78"/>
      <c r="F12" s="803"/>
      <c r="G12" s="565">
        <f>IF('A1'!$C$6="C.Educacional",C12*0.08,C12*0.04)</f>
        <v>0</v>
      </c>
      <c r="H12" s="807" t="str">
        <f t="shared" si="0"/>
        <v xml:space="preserve">Completar </v>
      </c>
      <c r="J12" s="1411"/>
      <c r="K12" s="1411"/>
      <c r="M12" s="1059"/>
      <c r="N12" s="1059"/>
      <c r="O12" s="1059"/>
      <c r="P12" s="1059"/>
      <c r="Q12" s="1059"/>
      <c r="R12" s="1059"/>
    </row>
    <row r="13" spans="1:18">
      <c r="B13" s="75"/>
      <c r="C13" s="78"/>
      <c r="D13" s="78"/>
      <c r="E13" s="78"/>
      <c r="F13" s="803"/>
      <c r="G13" s="565">
        <f>IF('A1'!$C$6="C.Educacional",C13*0.08,C13*0.04)</f>
        <v>0</v>
      </c>
      <c r="H13" s="807" t="str">
        <f t="shared" si="0"/>
        <v xml:space="preserve">Completar </v>
      </c>
      <c r="M13" s="1059"/>
      <c r="N13" s="1059"/>
      <c r="O13" s="1059"/>
      <c r="P13" s="1059"/>
      <c r="Q13" s="1059"/>
      <c r="R13" s="1059"/>
    </row>
    <row r="14" spans="1:18" ht="12.6" customHeight="1">
      <c r="B14" s="75"/>
      <c r="C14" s="78"/>
      <c r="D14" s="78"/>
      <c r="E14" s="78"/>
      <c r="F14" s="803"/>
      <c r="G14" s="565">
        <f>IF('A1'!$C$6="C.Educacional",C14*0.08,C14*0.04)</f>
        <v>0</v>
      </c>
      <c r="H14" s="807" t="str">
        <f t="shared" si="0"/>
        <v xml:space="preserve">Completar </v>
      </c>
      <c r="M14" s="1059"/>
      <c r="N14" s="1059"/>
      <c r="O14" s="1059"/>
      <c r="P14" s="1059"/>
      <c r="Q14" s="1059"/>
      <c r="R14" s="1059"/>
    </row>
    <row r="15" spans="1:18" ht="12.6" customHeight="1">
      <c r="B15" s="75"/>
      <c r="C15" s="78"/>
      <c r="D15" s="78"/>
      <c r="E15" s="78"/>
      <c r="F15" s="803"/>
      <c r="G15" s="565">
        <f>IF('A1'!$C$6="C.Educacional",C15*0.08,C15*0.04)</f>
        <v>0</v>
      </c>
      <c r="H15" s="807" t="str">
        <f t="shared" si="0"/>
        <v xml:space="preserve">Completar </v>
      </c>
      <c r="M15" s="1059"/>
      <c r="N15" s="1059"/>
      <c r="O15" s="1059"/>
      <c r="P15" s="1059"/>
      <c r="Q15" s="1059"/>
      <c r="R15" s="1059"/>
    </row>
    <row r="16" spans="1:18" ht="12.6" customHeight="1">
      <c r="B16" s="75"/>
      <c r="C16" s="78"/>
      <c r="D16" s="78"/>
      <c r="E16" s="78"/>
      <c r="F16" s="803"/>
      <c r="G16" s="565">
        <f>IF('A1'!$C$6="C.Educacional",C16*0.08,C16*0.04)</f>
        <v>0</v>
      </c>
      <c r="H16" s="807" t="str">
        <f t="shared" si="0"/>
        <v xml:space="preserve">Completar </v>
      </c>
      <c r="M16" s="1059"/>
      <c r="N16" s="1059"/>
      <c r="O16" s="1059"/>
      <c r="P16" s="1059"/>
      <c r="Q16" s="1059"/>
      <c r="R16" s="1059"/>
    </row>
    <row r="17" spans="2:18" ht="12.6" customHeight="1">
      <c r="B17" s="75"/>
      <c r="C17" s="78"/>
      <c r="D17" s="78"/>
      <c r="E17" s="78"/>
      <c r="F17" s="803"/>
      <c r="G17" s="565">
        <f>IF('A1'!$C$6="C.Educacional",C17*0.08,C17*0.04)</f>
        <v>0</v>
      </c>
      <c r="H17" s="807" t="str">
        <f t="shared" si="0"/>
        <v xml:space="preserve">Completar </v>
      </c>
      <c r="M17" s="1059"/>
      <c r="N17" s="1059"/>
      <c r="O17" s="1059"/>
      <c r="P17" s="1059"/>
      <c r="Q17" s="1059"/>
      <c r="R17" s="1059"/>
    </row>
    <row r="18" spans="2:18" ht="13.35" customHeight="1" thickBot="1">
      <c r="B18" s="76"/>
      <c r="C18" s="79"/>
      <c r="D18" s="79"/>
      <c r="E18" s="79"/>
      <c r="F18" s="804"/>
      <c r="G18" s="565">
        <f>IF('A1'!$C$6="C.Educacional",C18*0.08,C18*0.04)</f>
        <v>0</v>
      </c>
      <c r="H18" s="808" t="str">
        <f t="shared" si="0"/>
        <v xml:space="preserve">Completar </v>
      </c>
      <c r="M18" s="1059"/>
      <c r="N18" s="1059"/>
      <c r="O18" s="1059"/>
      <c r="P18" s="1059"/>
      <c r="Q18" s="1059"/>
      <c r="R18" s="1059"/>
    </row>
    <row r="20" spans="2:18" s="25" customFormat="1">
      <c r="B20" s="25" t="s">
        <v>493</v>
      </c>
    </row>
    <row r="21" spans="2:18" ht="13.5" thickBot="1"/>
    <row r="22" spans="2:18" ht="54" customHeight="1" thickBot="1">
      <c r="B22" s="47" t="s">
        <v>484</v>
      </c>
      <c r="C22" s="58" t="s">
        <v>485</v>
      </c>
      <c r="D22" s="58" t="s">
        <v>486</v>
      </c>
      <c r="E22" s="58" t="s">
        <v>487</v>
      </c>
      <c r="F22" s="58" t="s">
        <v>488</v>
      </c>
      <c r="G22" s="64" t="s">
        <v>489</v>
      </c>
      <c r="H22" s="805" t="s">
        <v>177</v>
      </c>
      <c r="I22" s="13"/>
      <c r="J22" s="257" t="s">
        <v>494</v>
      </c>
      <c r="K22" s="561"/>
    </row>
    <row r="23" spans="2:18">
      <c r="B23" s="75"/>
      <c r="C23" s="78"/>
      <c r="D23" s="78"/>
      <c r="E23" s="78"/>
      <c r="F23" s="802"/>
      <c r="G23" s="565">
        <f>C23*$K$23</f>
        <v>0</v>
      </c>
      <c r="H23" s="806" t="str">
        <f>IF(E23=0,"Completar ",IF(E23&gt;=G23,"Cumple","No cumple"))</f>
        <v xml:space="preserve">Completar </v>
      </c>
      <c r="J23" s="1405" t="s">
        <v>495</v>
      </c>
      <c r="K23" s="1407"/>
    </row>
    <row r="24" spans="2:18">
      <c r="B24" s="75"/>
      <c r="C24" s="78"/>
      <c r="D24" s="78"/>
      <c r="E24" s="78"/>
      <c r="F24" s="803"/>
      <c r="G24" s="565">
        <f t="shared" ref="G24:G35" si="1">C24*$K$23</f>
        <v>0</v>
      </c>
      <c r="H24" s="807" t="str">
        <f t="shared" ref="H24:H35" si="2">IF(E24=0,"Completar ",IF(E24&gt;=G24,"Cumple","No cumple"))</f>
        <v xml:space="preserve">Completar </v>
      </c>
      <c r="J24" s="1405"/>
      <c r="K24" s="1408"/>
    </row>
    <row r="25" spans="2:18" ht="13.5" thickBot="1">
      <c r="B25" s="75"/>
      <c r="C25" s="77"/>
      <c r="D25" s="77"/>
      <c r="E25" s="78"/>
      <c r="F25" s="803"/>
      <c r="G25" s="565">
        <f t="shared" si="1"/>
        <v>0</v>
      </c>
      <c r="H25" s="807" t="str">
        <f t="shared" si="2"/>
        <v xml:space="preserve">Completar </v>
      </c>
      <c r="J25" s="1406"/>
      <c r="K25" s="1409"/>
    </row>
    <row r="26" spans="2:18">
      <c r="B26" s="75"/>
      <c r="C26" s="78"/>
      <c r="D26" s="78"/>
      <c r="E26" s="78"/>
      <c r="F26" s="803"/>
      <c r="G26" s="565">
        <f t="shared" si="1"/>
        <v>0</v>
      </c>
      <c r="H26" s="807" t="str">
        <f t="shared" si="2"/>
        <v xml:space="preserve">Completar </v>
      </c>
    </row>
    <row r="27" spans="2:18" ht="12.6" customHeight="1">
      <c r="B27" s="75"/>
      <c r="C27" s="78"/>
      <c r="D27" s="78"/>
      <c r="E27" s="78"/>
      <c r="F27" s="803"/>
      <c r="G27" s="565">
        <f t="shared" si="1"/>
        <v>0</v>
      </c>
      <c r="H27" s="807" t="str">
        <f t="shared" si="2"/>
        <v xml:space="preserve">Completar </v>
      </c>
      <c r="J27" s="1410" t="s">
        <v>496</v>
      </c>
      <c r="K27" s="1410"/>
    </row>
    <row r="28" spans="2:18">
      <c r="B28" s="75"/>
      <c r="C28" s="78"/>
      <c r="D28" s="78"/>
      <c r="E28" s="78"/>
      <c r="F28" s="803"/>
      <c r="G28" s="565">
        <f t="shared" si="1"/>
        <v>0</v>
      </c>
      <c r="H28" s="807" t="str">
        <f t="shared" si="2"/>
        <v xml:space="preserve">Completar </v>
      </c>
      <c r="J28" s="1410"/>
      <c r="K28" s="1410"/>
    </row>
    <row r="29" spans="2:18">
      <c r="B29" s="75"/>
      <c r="C29" s="78"/>
      <c r="D29" s="78"/>
      <c r="E29" s="78"/>
      <c r="F29" s="803"/>
      <c r="G29" s="565">
        <f>C29*$K$23</f>
        <v>0</v>
      </c>
      <c r="H29" s="807" t="str">
        <f t="shared" si="2"/>
        <v xml:space="preserve">Completar </v>
      </c>
      <c r="J29" s="1410"/>
      <c r="K29" s="1410"/>
    </row>
    <row r="30" spans="2:18">
      <c r="B30" s="75"/>
      <c r="C30" s="78"/>
      <c r="D30" s="78"/>
      <c r="E30" s="78"/>
      <c r="F30" s="803"/>
      <c r="G30" s="565">
        <f t="shared" si="1"/>
        <v>0</v>
      </c>
      <c r="H30" s="807" t="str">
        <f t="shared" si="2"/>
        <v xml:space="preserve">Completar </v>
      </c>
      <c r="J30" s="1410"/>
      <c r="K30" s="1410"/>
    </row>
    <row r="31" spans="2:18">
      <c r="B31" s="75"/>
      <c r="C31" s="78"/>
      <c r="D31" s="78"/>
      <c r="E31" s="78"/>
      <c r="F31" s="803"/>
      <c r="G31" s="565">
        <f t="shared" si="1"/>
        <v>0</v>
      </c>
      <c r="H31" s="807" t="str">
        <f t="shared" si="2"/>
        <v xml:space="preserve">Completar </v>
      </c>
      <c r="J31" s="1410"/>
      <c r="K31" s="1410"/>
    </row>
    <row r="32" spans="2:18">
      <c r="B32" s="75"/>
      <c r="C32" s="78"/>
      <c r="D32" s="78"/>
      <c r="E32" s="78"/>
      <c r="F32" s="803"/>
      <c r="G32" s="565">
        <f t="shared" si="1"/>
        <v>0</v>
      </c>
      <c r="H32" s="807" t="str">
        <f t="shared" si="2"/>
        <v xml:space="preserve">Completar </v>
      </c>
      <c r="J32" s="1410"/>
      <c r="K32" s="1410"/>
    </row>
    <row r="33" spans="2:8">
      <c r="B33" s="75"/>
      <c r="C33" s="78"/>
      <c r="D33" s="78"/>
      <c r="E33" s="78"/>
      <c r="F33" s="803"/>
      <c r="G33" s="565">
        <f t="shared" si="1"/>
        <v>0</v>
      </c>
      <c r="H33" s="807" t="str">
        <f t="shared" si="2"/>
        <v xml:space="preserve">Completar </v>
      </c>
    </row>
    <row r="34" spans="2:8">
      <c r="B34" s="75"/>
      <c r="C34" s="78"/>
      <c r="D34" s="78"/>
      <c r="E34" s="78"/>
      <c r="F34" s="803"/>
      <c r="G34" s="565">
        <f t="shared" si="1"/>
        <v>0</v>
      </c>
      <c r="H34" s="807" t="str">
        <f t="shared" si="2"/>
        <v xml:space="preserve">Completar </v>
      </c>
    </row>
    <row r="35" spans="2:8" ht="13.5" thickBot="1">
      <c r="B35" s="76"/>
      <c r="C35" s="79"/>
      <c r="D35" s="79"/>
      <c r="E35" s="79"/>
      <c r="F35" s="804"/>
      <c r="G35" s="566">
        <f t="shared" si="1"/>
        <v>0</v>
      </c>
      <c r="H35" s="808" t="str">
        <f t="shared" si="2"/>
        <v xml:space="preserve">Completar </v>
      </c>
    </row>
  </sheetData>
  <sheetProtection algorithmName="SHA-512" hashValue="Ky/fgutLhIyAbRmvvCuiPn0U1vG6qoDkvWErVqq6ef3Rmgq7f/z46BAVNBFOM8fiy8FKELBAEAeRruf9arKT5Q==" saltValue="nCpmlcBuGMkGIJhmyztyuw==" spinCount="100000" sheet="1" objects="1" scenarios="1"/>
  <mergeCells count="6">
    <mergeCell ref="M5:R18"/>
    <mergeCell ref="J23:J25"/>
    <mergeCell ref="K23:K25"/>
    <mergeCell ref="J5:K8"/>
    <mergeCell ref="J27:K32"/>
    <mergeCell ref="J10:K12"/>
  </mergeCells>
  <conditionalFormatting sqref="H6:H18">
    <cfRule type="cellIs" dxfId="289" priority="1" operator="equal">
      <formula>"No cumple"</formula>
    </cfRule>
    <cfRule type="cellIs" dxfId="288" priority="2" operator="equal">
      <formula>"Cumple"</formula>
    </cfRule>
  </conditionalFormatting>
  <conditionalFormatting sqref="H23:H35">
    <cfRule type="cellIs" dxfId="287" priority="3" operator="equal">
      <formula>"No cumple"</formula>
    </cfRule>
    <cfRule type="cellIs" dxfId="286" priority="4" operator="equal">
      <formula>"Cumple"</formula>
    </cfRule>
  </conditionalFormatting>
  <pageMargins left="0.7" right="0.7" top="0.98624999999999996" bottom="0.75" header="0.3" footer="0.3"/>
  <pageSetup paperSize="9" scale="81" orientation="landscape" r:id="rId1"/>
  <headerFooter>
    <oddHeader>&amp;L&amp;G</oddHeader>
    <oddFooter>&amp;L&amp;D&amp;R&amp;A</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5B92B879-C7B7-4219-804A-E16C82921341}">
          <x14:formula1>
            <xm:f>Datos_A7!$AC$4:$AC$7</xm:f>
          </x14:formula1>
          <xm:sqref>F6:F18 F23:F35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A9537-F5C3-4DBC-9D7B-32831C0D002C}">
  <dimension ref="A1:R141"/>
  <sheetViews>
    <sheetView showGridLines="0" zoomScaleNormal="100" zoomScalePageLayoutView="40" workbookViewId="0">
      <selection activeCell="D27" sqref="D27"/>
    </sheetView>
  </sheetViews>
  <sheetFormatPr defaultColWidth="9.28515625" defaultRowHeight="12.75"/>
  <cols>
    <col min="1" max="1" width="5.28515625" style="157" customWidth="1"/>
    <col min="2" max="2" width="13.42578125" style="157" customWidth="1"/>
    <col min="3" max="3" width="28.7109375" style="332" customWidth="1"/>
    <col min="4" max="4" width="25.28515625" style="332" customWidth="1"/>
    <col min="5" max="5" width="24.28515625" style="157" bestFit="1" customWidth="1"/>
    <col min="6" max="6" width="32.28515625" style="157" customWidth="1"/>
    <col min="7" max="7" width="19.7109375" style="157" customWidth="1"/>
    <col min="8" max="8" width="19" style="325" customWidth="1"/>
    <col min="9" max="9" width="25.7109375" style="325" customWidth="1"/>
    <col min="10" max="10" width="21.28515625" style="157" customWidth="1"/>
    <col min="11" max="11" width="24" style="157" customWidth="1"/>
    <col min="12" max="12" width="19.28515625" style="157" customWidth="1"/>
    <col min="13" max="13" width="13.28515625" style="157" bestFit="1" customWidth="1"/>
    <col min="14" max="14" width="15.28515625" style="157" customWidth="1"/>
    <col min="15" max="15" width="15.42578125" style="157" customWidth="1"/>
    <col min="16" max="16" width="11.28515625" style="157" customWidth="1"/>
    <col min="17" max="16384" width="9.28515625" style="157"/>
  </cols>
  <sheetData>
    <row r="1" spans="1:13" s="322" customFormat="1" ht="26.85" customHeight="1">
      <c r="A1" s="323" t="s">
        <v>497</v>
      </c>
      <c r="B1" s="324" t="s">
        <v>498</v>
      </c>
      <c r="C1" s="324"/>
      <c r="D1" s="324"/>
      <c r="E1" s="324"/>
      <c r="F1" s="324" t="s">
        <v>4</v>
      </c>
      <c r="G1" s="324"/>
      <c r="H1" s="324" t="s">
        <v>5</v>
      </c>
      <c r="I1" s="323"/>
      <c r="J1" s="324"/>
    </row>
    <row r="4" spans="1:13" ht="21.6" customHeight="1">
      <c r="C4" s="375" t="s">
        <v>499</v>
      </c>
      <c r="D4" s="352"/>
      <c r="E4" s="353"/>
    </row>
    <row r="5" spans="1:13" ht="25.5" customHeight="1">
      <c r="C5" s="375" t="s">
        <v>500</v>
      </c>
      <c r="D5" s="576">
        <v>60</v>
      </c>
      <c r="E5" s="354"/>
      <c r="J5" s="325"/>
      <c r="K5" s="325"/>
    </row>
    <row r="6" spans="1:13" ht="25.5" customHeight="1">
      <c r="C6" s="709"/>
      <c r="D6" s="710"/>
      <c r="E6" s="253"/>
      <c r="J6" s="325"/>
      <c r="K6" s="325"/>
    </row>
    <row r="7" spans="1:13" s="711" customFormat="1" ht="25.5" customHeight="1">
      <c r="B7" s="1044" t="s">
        <v>501</v>
      </c>
      <c r="C7" s="706"/>
      <c r="D7" s="707"/>
      <c r="E7" s="708"/>
      <c r="H7" s="712"/>
      <c r="I7" s="712"/>
      <c r="J7" s="712"/>
      <c r="K7" s="712"/>
    </row>
    <row r="8" spans="1:13" ht="13.5" thickBot="1">
      <c r="B8" s="946"/>
      <c r="C8" s="709"/>
      <c r="D8" s="710"/>
      <c r="E8" s="253"/>
      <c r="J8" s="325"/>
      <c r="K8" s="325"/>
    </row>
    <row r="9" spans="1:13" ht="47.65" customHeight="1" thickBot="1">
      <c r="C9" s="151" t="s">
        <v>69</v>
      </c>
      <c r="D9" s="151" t="s">
        <v>502</v>
      </c>
      <c r="E9" s="151" t="s">
        <v>503</v>
      </c>
      <c r="F9" s="1428" t="s">
        <v>504</v>
      </c>
      <c r="G9" s="1171"/>
      <c r="I9" s="1412" t="s">
        <v>186</v>
      </c>
      <c r="J9" s="1412"/>
      <c r="K9" s="1412"/>
      <c r="L9" s="1412"/>
      <c r="M9" s="1412"/>
    </row>
    <row r="10" spans="1:13" ht="57" customHeight="1">
      <c r="C10" s="947"/>
      <c r="D10" s="947"/>
      <c r="E10" s="947"/>
      <c r="F10" s="1429"/>
      <c r="G10" s="1430"/>
      <c r="I10" s="1413" t="s">
        <v>505</v>
      </c>
      <c r="J10" s="1414"/>
      <c r="K10" s="1414"/>
      <c r="L10" s="1414"/>
      <c r="M10" s="1414"/>
    </row>
    <row r="11" spans="1:13" ht="52.5" customHeight="1">
      <c r="C11" s="83"/>
      <c r="D11" s="83"/>
      <c r="E11" s="83"/>
      <c r="F11" s="1431"/>
      <c r="G11" s="1432"/>
      <c r="I11" s="1414"/>
      <c r="J11" s="1414"/>
      <c r="K11" s="1414"/>
      <c r="L11" s="1414"/>
      <c r="M11" s="1414"/>
    </row>
    <row r="12" spans="1:13" ht="49.5" customHeight="1" thickBot="1">
      <c r="C12" s="948"/>
      <c r="D12" s="948"/>
      <c r="E12" s="948"/>
      <c r="F12" s="1433"/>
      <c r="G12" s="1434"/>
      <c r="I12" s="1414"/>
      <c r="J12" s="1414"/>
      <c r="K12" s="1414"/>
      <c r="L12" s="1414"/>
      <c r="M12" s="1414"/>
    </row>
    <row r="13" spans="1:13" ht="25.5" customHeight="1">
      <c r="C13" s="709"/>
      <c r="D13" s="710"/>
      <c r="E13" s="253"/>
      <c r="J13" s="325"/>
      <c r="K13" s="325"/>
    </row>
    <row r="14" spans="1:13" s="711" customFormat="1" ht="25.5" customHeight="1">
      <c r="B14" s="713" t="s">
        <v>506</v>
      </c>
      <c r="C14" s="706"/>
      <c r="D14" s="707"/>
      <c r="E14" s="708"/>
      <c r="H14" s="712"/>
      <c r="I14" s="712"/>
      <c r="J14" s="712"/>
      <c r="K14" s="712"/>
    </row>
    <row r="15" spans="1:13" ht="13.5" thickBot="1">
      <c r="B15" s="946"/>
      <c r="C15" s="709"/>
      <c r="D15" s="710"/>
      <c r="E15" s="253"/>
      <c r="J15" s="325"/>
      <c r="K15" s="325"/>
    </row>
    <row r="16" spans="1:13" ht="25.5" customHeight="1" thickBot="1">
      <c r="C16" s="924" t="s">
        <v>507</v>
      </c>
      <c r="D16" s="924" t="s">
        <v>508</v>
      </c>
      <c r="E16" s="924" t="s">
        <v>509</v>
      </c>
      <c r="F16" s="950" t="s">
        <v>177</v>
      </c>
      <c r="G16" s="1435" t="s">
        <v>510</v>
      </c>
      <c r="H16" s="1436"/>
      <c r="J16" s="1412" t="s">
        <v>511</v>
      </c>
      <c r="K16" s="1412"/>
      <c r="L16" s="1412"/>
      <c r="M16" s="1412"/>
    </row>
    <row r="17" spans="2:18" ht="89.65" customHeight="1">
      <c r="C17" s="951"/>
      <c r="D17" s="953"/>
      <c r="E17" s="947"/>
      <c r="F17" s="1419" t="str">
        <f>IF(F20="Completar información",F20,IF(F20="C","Cumple","No cumple"))</f>
        <v>Completar información</v>
      </c>
      <c r="G17" s="1426"/>
      <c r="H17" s="1427"/>
      <c r="J17" s="1418" t="s">
        <v>512</v>
      </c>
      <c r="K17" s="1418"/>
      <c r="L17" s="1418"/>
      <c r="M17" s="1418"/>
    </row>
    <row r="18" spans="2:18" ht="89.65" customHeight="1">
      <c r="C18" s="952"/>
      <c r="D18" s="954"/>
      <c r="E18" s="83"/>
      <c r="F18" s="1420"/>
      <c r="G18" s="1422"/>
      <c r="H18" s="1423"/>
      <c r="J18" s="1418"/>
      <c r="K18" s="1418"/>
      <c r="L18" s="1418"/>
      <c r="M18" s="1418"/>
    </row>
    <row r="19" spans="2:18" ht="89.65" customHeight="1" thickBot="1">
      <c r="C19" s="949"/>
      <c r="D19" s="955"/>
      <c r="E19" s="948"/>
      <c r="F19" s="1421"/>
      <c r="G19" s="1424"/>
      <c r="H19" s="1425"/>
      <c r="J19" s="325"/>
      <c r="K19" s="325"/>
    </row>
    <row r="20" spans="2:18" ht="35.65" customHeight="1" thickBot="1">
      <c r="C20" s="151" t="s">
        <v>513</v>
      </c>
      <c r="D20" s="997">
        <f>SUM(D17:D19)</f>
        <v>0</v>
      </c>
      <c r="E20" s="58"/>
      <c r="F20" s="956" t="str">
        <f>IF(D20=0,"Completar información",IF(D20&gt;=80%,"C","N/C"))</f>
        <v>Completar información</v>
      </c>
      <c r="G20" s="1170"/>
      <c r="H20" s="1171"/>
      <c r="J20" s="325"/>
      <c r="K20" s="325"/>
    </row>
    <row r="21" spans="2:18" ht="25.5" customHeight="1">
      <c r="C21" s="709"/>
      <c r="D21" s="710"/>
      <c r="E21" s="253"/>
      <c r="J21" s="325"/>
      <c r="K21" s="325"/>
    </row>
    <row r="22" spans="2:18" s="711" customFormat="1" ht="25.5" customHeight="1">
      <c r="B22" s="713" t="s">
        <v>514</v>
      </c>
      <c r="C22" s="706"/>
      <c r="D22" s="707"/>
      <c r="E22" s="708"/>
      <c r="H22" s="712"/>
      <c r="I22" s="712"/>
      <c r="J22" s="712"/>
      <c r="K22" s="712"/>
    </row>
    <row r="23" spans="2:18" ht="13.5" thickBot="1">
      <c r="D23" s="1439"/>
      <c r="E23" s="1439"/>
      <c r="F23" s="1439"/>
      <c r="G23" s="325"/>
      <c r="J23" s="325"/>
      <c r="K23" s="325"/>
    </row>
    <row r="24" spans="2:18" ht="38.1" customHeight="1" thickBot="1">
      <c r="B24" s="1415" t="s">
        <v>515</v>
      </c>
      <c r="C24" s="376" t="s">
        <v>516</v>
      </c>
      <c r="D24" s="377" t="s">
        <v>517</v>
      </c>
      <c r="E24" s="903" t="s">
        <v>518</v>
      </c>
      <c r="K24" s="325"/>
      <c r="N24" s="1412" t="s">
        <v>186</v>
      </c>
      <c r="O24" s="1412"/>
      <c r="P24" s="1412"/>
      <c r="Q24" s="1412"/>
      <c r="R24" s="1412"/>
    </row>
    <row r="25" spans="2:18" ht="87" customHeight="1" thickBot="1">
      <c r="B25" s="1416"/>
      <c r="C25" s="378" t="s">
        <v>519</v>
      </c>
      <c r="D25" s="355"/>
      <c r="E25" s="356"/>
      <c r="H25" s="331"/>
      <c r="J25" s="325"/>
      <c r="K25" s="325"/>
      <c r="N25" s="1417" t="s">
        <v>520</v>
      </c>
      <c r="O25" s="1417"/>
      <c r="P25" s="1417"/>
      <c r="Q25" s="1417"/>
      <c r="R25" s="1417"/>
    </row>
    <row r="26" spans="2:18" ht="13.5" thickBot="1">
      <c r="D26" s="331"/>
      <c r="E26" s="325"/>
      <c r="F26" s="325"/>
      <c r="G26" s="325"/>
      <c r="K26" s="325"/>
    </row>
    <row r="27" spans="2:18" ht="13.5" customHeight="1" thickBot="1">
      <c r="B27" s="1415" t="s">
        <v>521</v>
      </c>
      <c r="C27" s="379" t="s">
        <v>522</v>
      </c>
      <c r="D27" s="357"/>
      <c r="F27" s="325"/>
      <c r="G27" s="325"/>
      <c r="J27" s="325"/>
      <c r="K27" s="325"/>
      <c r="N27" s="1440" t="s">
        <v>523</v>
      </c>
      <c r="O27" s="1440"/>
      <c r="P27" s="1440"/>
      <c r="Q27" s="1440"/>
      <c r="R27" s="1440"/>
    </row>
    <row r="28" spans="2:18" ht="24" customHeight="1" thickBot="1">
      <c r="B28" s="1473"/>
      <c r="D28" s="331"/>
      <c r="E28" s="325"/>
      <c r="F28" s="325"/>
      <c r="G28" s="325"/>
      <c r="I28" s="1464" t="s">
        <v>524</v>
      </c>
      <c r="J28" s="1465"/>
      <c r="K28" s="724" t="s">
        <v>525</v>
      </c>
      <c r="N28" s="1440"/>
      <c r="O28" s="1440"/>
      <c r="P28" s="1440"/>
      <c r="Q28" s="1440"/>
      <c r="R28" s="1440"/>
    </row>
    <row r="29" spans="2:18" ht="34.35" customHeight="1" thickBot="1">
      <c r="B29" s="1473"/>
      <c r="C29" s="379" t="s">
        <v>526</v>
      </c>
      <c r="D29" s="380" t="s">
        <v>517</v>
      </c>
      <c r="E29" s="380" t="s">
        <v>522</v>
      </c>
      <c r="F29" s="380" t="s">
        <v>527</v>
      </c>
      <c r="G29" s="474" t="s">
        <v>528</v>
      </c>
      <c r="I29" s="1466"/>
      <c r="J29" s="1467"/>
      <c r="K29" s="726" t="s">
        <v>529</v>
      </c>
      <c r="N29" s="1440"/>
      <c r="O29" s="1440"/>
      <c r="P29" s="1440"/>
      <c r="Q29" s="1440"/>
      <c r="R29" s="1440"/>
    </row>
    <row r="30" spans="2:18" ht="17.649999999999999" customHeight="1">
      <c r="B30" s="1473"/>
      <c r="C30" s="384" t="s">
        <v>530</v>
      </c>
      <c r="D30" s="80"/>
      <c r="E30" s="80"/>
      <c r="F30" s="381" t="str">
        <f>IFERROR(IF($D$27=Bilioteca.Minergie[[#Headers],[Tipo.Energético.Minergie]],VLOOKUP(E30,Factoresemisión[[#All],[Fuente de energía]:[Factor de emisión KgCO2/KWh]],2,0),VLOOKUP(E30,Energético.Personal[[#All],[Otro Energético]:[Factor de emisión]],2,0)),"Completar Elección y/o información ")</f>
        <v xml:space="preserve">Completar Elección y/o información </v>
      </c>
      <c r="G30" s="382">
        <f>IF(ISERROR(D30*F30),0,D30*F30)</f>
        <v>0</v>
      </c>
      <c r="I30" s="1466"/>
      <c r="J30" s="1467"/>
      <c r="K30" s="1470" t="s">
        <v>531</v>
      </c>
      <c r="N30" s="1440"/>
      <c r="O30" s="1440"/>
      <c r="P30" s="1440"/>
      <c r="Q30" s="1440"/>
      <c r="R30" s="1440"/>
    </row>
    <row r="31" spans="2:18" ht="20.65" customHeight="1" thickBot="1">
      <c r="B31" s="1473"/>
      <c r="C31" s="385" t="s">
        <v>532</v>
      </c>
      <c r="D31" s="83"/>
      <c r="E31" s="80"/>
      <c r="F31" s="381" t="str">
        <f>IFERROR(IF($D$27=Bilioteca.Minergie[[#Headers],[Tipo.Energético.Minergie]],VLOOKUP(E31,Factoresemisión[[#All],[Fuente de energía]:[Factor de emisión KgCO2/KWh]],2,0),VLOOKUP(E31,Energético.Personal[[#All],[Otro Energético]:[Factor de emisión]],2,0)),"Completar Elección y/o información ")</f>
        <v xml:space="preserve">Completar Elección y/o información </v>
      </c>
      <c r="G31" s="382">
        <f>IF(ISERROR(D31*F31),0,D31*F31)</f>
        <v>0</v>
      </c>
      <c r="I31" s="1466"/>
      <c r="J31" s="1467"/>
      <c r="K31" s="1471"/>
      <c r="N31" s="1440"/>
      <c r="O31" s="1440"/>
      <c r="P31" s="1440"/>
      <c r="Q31" s="1440"/>
      <c r="R31" s="1440"/>
    </row>
    <row r="32" spans="2:18" ht="20.65" customHeight="1">
      <c r="B32" s="1473"/>
      <c r="C32" s="385" t="s">
        <v>533</v>
      </c>
      <c r="D32" s="83"/>
      <c r="E32" s="80"/>
      <c r="F32" s="381" t="str">
        <f>IFERROR(IF($D$27=Bilioteca.Minergie[[#Headers],[Tipo.Energético.Minergie]],VLOOKUP(E32,Factoresemisión[[#All],[Fuente de energía]:[Factor de emisión KgCO2/KWh]],2,0),VLOOKUP(E32,Energético.Personal[[#All],[Otro Energético]:[Factor de emisión]],2,0)),"Completar Elección y/o información ")</f>
        <v xml:space="preserve">Completar Elección y/o información </v>
      </c>
      <c r="G32" s="382">
        <f>IF(ISERROR(D32*F32),0,D32*F32)</f>
        <v>0</v>
      </c>
      <c r="I32" s="1466"/>
      <c r="J32" s="1467"/>
      <c r="K32" s="725" t="str">
        <f>'T2+T2.a'!D19</f>
        <v>N/A</v>
      </c>
      <c r="N32" s="1440"/>
      <c r="O32" s="1440"/>
      <c r="P32" s="1440"/>
      <c r="Q32" s="1440"/>
      <c r="R32" s="1440"/>
    </row>
    <row r="33" spans="2:18" ht="20.100000000000001" customHeight="1">
      <c r="B33" s="1473"/>
      <c r="C33" s="385" t="s">
        <v>534</v>
      </c>
      <c r="D33" s="83"/>
      <c r="E33" s="80"/>
      <c r="F33" s="381" t="str">
        <f>IFERROR(IF($D$27=Bilioteca.Minergie[[#Headers],[Tipo.Energético.Minergie]],VLOOKUP(E33,Factoresemisión[[#All],[Fuente de energía]:[Factor de emisión KgCO2/KWh]],2,0),VLOOKUP(E33,Energético.Personal[[#All],[Otro Energético]:[Factor de emisión]],2,0)),"Completar Elección y/o información ")</f>
        <v xml:space="preserve">Completar Elección y/o información </v>
      </c>
      <c r="G33" s="382">
        <f>IF(ISERROR(D33*F33),0,D33*F33)</f>
        <v>0</v>
      </c>
      <c r="I33" s="1466"/>
      <c r="J33" s="1467"/>
      <c r="K33" s="568"/>
      <c r="N33" s="1440"/>
      <c r="O33" s="1440"/>
      <c r="P33" s="1440"/>
      <c r="Q33" s="1440"/>
      <c r="R33" s="1440"/>
    </row>
    <row r="34" spans="2:18" ht="24.6" customHeight="1">
      <c r="B34" s="1473"/>
      <c r="C34" s="385" t="s">
        <v>535</v>
      </c>
      <c r="D34" s="83"/>
      <c r="E34" s="80"/>
      <c r="F34" s="381" t="str">
        <f>IFERROR(IF($D$27=Bilioteca.Minergie[[#Headers],[Tipo.Energético.Minergie]],VLOOKUP(E34,Factoresemisión[[#All],[Fuente de energía]:[Factor de emisión KgCO2/KWh]],2,0),VLOOKUP(E34,Energético.Personal[[#All],[Otro Energético]:[Factor de emisión]],2,0)),"Completar Elección y/o información ")</f>
        <v xml:space="preserve">Completar Elección y/o información </v>
      </c>
      <c r="G34" s="382">
        <f>IF(ISERROR(D34*F34),0,D34*F34)</f>
        <v>0</v>
      </c>
      <c r="I34" s="1466"/>
      <c r="J34" s="1467"/>
      <c r="K34" s="568"/>
      <c r="N34" s="1440"/>
      <c r="O34" s="1440"/>
      <c r="P34" s="1440"/>
      <c r="Q34" s="1440"/>
      <c r="R34" s="1440"/>
    </row>
    <row r="35" spans="2:18" ht="27.6" customHeight="1" thickBot="1">
      <c r="B35" s="1416"/>
      <c r="C35" s="1441"/>
      <c r="D35" s="1441"/>
      <c r="E35" s="1441"/>
      <c r="F35" s="1441"/>
      <c r="G35" s="383">
        <f>SUM(G30:G34)</f>
        <v>0</v>
      </c>
      <c r="I35" s="1468"/>
      <c r="J35" s="1469"/>
      <c r="K35" s="568"/>
      <c r="N35" s="1442" t="s">
        <v>536</v>
      </c>
      <c r="O35" s="1442"/>
      <c r="P35" s="1442"/>
      <c r="Q35" s="1442"/>
      <c r="R35" s="1442"/>
    </row>
    <row r="36" spans="2:18" ht="27.6" customHeight="1">
      <c r="B36" s="406"/>
      <c r="C36" s="716"/>
      <c r="D36" s="716"/>
      <c r="E36" s="716"/>
      <c r="F36" s="716"/>
      <c r="G36" s="717"/>
      <c r="I36" s="718"/>
      <c r="J36" s="718"/>
      <c r="K36" s="719"/>
      <c r="N36" s="720"/>
      <c r="O36" s="720"/>
      <c r="P36" s="720"/>
      <c r="Q36" s="720"/>
      <c r="R36" s="720"/>
    </row>
    <row r="37" spans="2:18" s="711" customFormat="1" ht="27.6" customHeight="1">
      <c r="B37" s="1472" t="s">
        <v>537</v>
      </c>
      <c r="C37" s="1472"/>
      <c r="D37" s="1472"/>
      <c r="E37" s="714"/>
      <c r="F37" s="714"/>
      <c r="G37" s="715"/>
      <c r="H37" s="712"/>
      <c r="I37" s="721"/>
      <c r="J37" s="721"/>
      <c r="K37" s="722"/>
      <c r="N37" s="723"/>
      <c r="O37" s="723"/>
      <c r="P37" s="723"/>
      <c r="Q37" s="723"/>
      <c r="R37" s="723"/>
    </row>
    <row r="38" spans="2:18" ht="13.5" thickBot="1"/>
    <row r="39" spans="2:18" ht="42.6" customHeight="1" thickBot="1">
      <c r="C39" s="389" t="s">
        <v>538</v>
      </c>
      <c r="D39" s="380" t="s">
        <v>66</v>
      </c>
      <c r="E39" s="380" t="s">
        <v>213</v>
      </c>
      <c r="F39" s="380" t="s">
        <v>69</v>
      </c>
      <c r="G39" s="380" t="s">
        <v>539</v>
      </c>
      <c r="H39" s="380" t="s">
        <v>540</v>
      </c>
      <c r="I39" s="380" t="s">
        <v>541</v>
      </c>
      <c r="J39" s="380" t="s">
        <v>542</v>
      </c>
      <c r="K39" s="386" t="s">
        <v>543</v>
      </c>
      <c r="M39" s="358"/>
    </row>
    <row r="40" spans="2:18" s="332" customFormat="1" ht="50.1" customHeight="1">
      <c r="C40" s="359"/>
      <c r="D40" s="320"/>
      <c r="E40" s="320"/>
      <c r="F40" s="321"/>
      <c r="G40" s="381" t="str" cm="1">
        <f t="array" ref="G40">IFERROR(_xlfn.IFS(E40=Material.Biblioteca.Minergie[[#Headers],[Material.Biblioteca.Minergie]],VLOOKUP(F40,BIBLIOTECA.MINERGIE[#All],4,0),E40=Material.Biblioteca.Personal[[#Headers],[Material.Biblioteca.Personal]],VLOOKUP(F40,BIBLIOTECA.PERSONAL13[#All],4,0)),"-")</f>
        <v>-</v>
      </c>
      <c r="H40" s="381" t="str" cm="1">
        <f t="array" ref="H40">IFERROR(_xlfn.IFS(E40=Material.Biblioteca.Minergie[[#Headers],[Material.Biblioteca.Minergie]],VLOOKUP(F40,BIBLIOTECA.MINERGIE[#All],2,0),E40=Material.Biblioteca.Personal[[#Headers],[Material.Biblioteca.Personal]],VLOOKUP(F40,BIBLIOTECA.PERSONAL13[#All],2,0)),"-")</f>
        <v>-</v>
      </c>
      <c r="I40" s="381" t="str" cm="1">
        <f t="array" ref="I40">IFERROR(_xlfn.IFS(E40=Material.Biblioteca.Minergie[[#Headers],[Material.Biblioteca.Minergie]],VLOOKUP(F40,BIBLIOTECA.MINERGIE[#All],3,0),E40=Material.Biblioteca.Personal[[#Headers],[Material.Biblioteca.Personal]],VLOOKUP(F40,BIBLIOTECA.PERSONAL13[#All],3,0)),"-")</f>
        <v>-</v>
      </c>
      <c r="J40" s="360"/>
      <c r="K40" s="387">
        <f t="shared" ref="K40:K45" si="0">IFERROR(I40*J40,0)</f>
        <v>0</v>
      </c>
      <c r="L40" s="157"/>
      <c r="N40" s="1443" t="s">
        <v>544</v>
      </c>
      <c r="O40" s="1443"/>
      <c r="P40" s="1443"/>
      <c r="Q40" s="1443"/>
      <c r="R40" s="1443"/>
    </row>
    <row r="41" spans="2:18" ht="50.1" customHeight="1">
      <c r="C41" s="359"/>
      <c r="D41" s="320"/>
      <c r="E41" s="320"/>
      <c r="F41" s="321"/>
      <c r="G41" s="381" t="str" cm="1">
        <f t="array" ref="G41">IFERROR(_xlfn.IFS(E41=Material.Biblioteca.Minergie[[#Headers],[Material.Biblioteca.Minergie]],VLOOKUP(F41,BIBLIOTECA.MINERGIE[#All],4,0),E41=Material.Biblioteca.Personal[[#Headers],[Material.Biblioteca.Personal]],VLOOKUP(F41,BIBLIOTECA.PERSONAL13[#All],4,0)),"-")</f>
        <v>-</v>
      </c>
      <c r="H41" s="381" t="str" cm="1">
        <f t="array" ref="H41">IFERROR(_xlfn.IFS(E41=Material.Biblioteca.Minergie[[#Headers],[Material.Biblioteca.Minergie]],VLOOKUP(F41,BIBLIOTECA.MINERGIE[#All],2,0),E41=Material.Biblioteca.Personal[[#Headers],[Material.Biblioteca.Personal]],VLOOKUP(F41,BIBLIOTECA.PERSONAL13[#All],2,0)),"-")</f>
        <v>-</v>
      </c>
      <c r="I41" s="381" t="str" cm="1">
        <f t="array" ref="I41">IFERROR(_xlfn.IFS(E41=Material.Biblioteca.Minergie[[#Headers],[Material.Biblioteca.Minergie]],VLOOKUP(F41,BIBLIOTECA.MINERGIE[#All],3,0),E41=Material.Biblioteca.Personal[[#Headers],[Material.Biblioteca.Personal]],VLOOKUP(F41,BIBLIOTECA.PERSONAL13[#All],3,0)),"-")</f>
        <v>-</v>
      </c>
      <c r="J41" s="360"/>
      <c r="K41" s="387">
        <f t="shared" si="0"/>
        <v>0</v>
      </c>
      <c r="N41" s="1443"/>
      <c r="O41" s="1443"/>
      <c r="P41" s="1443"/>
      <c r="Q41" s="1443"/>
      <c r="R41" s="1443"/>
    </row>
    <row r="42" spans="2:18" ht="50.1" customHeight="1">
      <c r="C42" s="359"/>
      <c r="D42" s="320"/>
      <c r="E42" s="320"/>
      <c r="F42" s="321"/>
      <c r="G42" s="381" t="str" cm="1">
        <f t="array" ref="G42">IFERROR(_xlfn.IFS(E42=Material.Biblioteca.Minergie[[#Headers],[Material.Biblioteca.Minergie]],VLOOKUP(F42,BIBLIOTECA.MINERGIE[#All],4,0),E42=Material.Biblioteca.Personal[[#Headers],[Material.Biblioteca.Personal]],VLOOKUP(F42,BIBLIOTECA.PERSONAL13[#All],4,0)),"-")</f>
        <v>-</v>
      </c>
      <c r="H42" s="381" t="str" cm="1">
        <f t="array" ref="H42">IFERROR(_xlfn.IFS(E42=Material.Biblioteca.Minergie[[#Headers],[Material.Biblioteca.Minergie]],VLOOKUP(F42,BIBLIOTECA.MINERGIE[#All],2,0),E42=Material.Biblioteca.Personal[[#Headers],[Material.Biblioteca.Personal]],VLOOKUP(F42,BIBLIOTECA.PERSONAL13[#All],2,0)),"-")</f>
        <v>-</v>
      </c>
      <c r="I42" s="381" t="str" cm="1">
        <f t="array" ref="I42">IFERROR(_xlfn.IFS(E42=Material.Biblioteca.Minergie[[#Headers],[Material.Biblioteca.Minergie]],VLOOKUP(F42,BIBLIOTECA.MINERGIE[#All],3,0),E42=Material.Biblioteca.Personal[[#Headers],[Material.Biblioteca.Personal]],VLOOKUP(F42,BIBLIOTECA.PERSONAL13[#All],3,0)),"-")</f>
        <v>-</v>
      </c>
      <c r="J42" s="360"/>
      <c r="K42" s="387">
        <f t="shared" si="0"/>
        <v>0</v>
      </c>
      <c r="N42" s="1443"/>
      <c r="O42" s="1443"/>
      <c r="P42" s="1443"/>
      <c r="Q42" s="1443"/>
      <c r="R42" s="1443"/>
    </row>
    <row r="43" spans="2:18" ht="50.1" customHeight="1">
      <c r="C43" s="359"/>
      <c r="D43" s="320"/>
      <c r="E43" s="320"/>
      <c r="F43" s="321"/>
      <c r="G43" s="381" t="str" cm="1">
        <f t="array" ref="G43">IFERROR(_xlfn.IFS(E43=Material.Biblioteca.Minergie[[#Headers],[Material.Biblioteca.Minergie]],VLOOKUP(F43,BIBLIOTECA.MINERGIE[#All],4,0),E43=Material.Biblioteca.Personal[[#Headers],[Material.Biblioteca.Personal]],VLOOKUP(F43,BIBLIOTECA.PERSONAL13[#All],4,0)),"-")</f>
        <v>-</v>
      </c>
      <c r="H43" s="381" t="str" cm="1">
        <f t="array" ref="H43">IFERROR(_xlfn.IFS(E43=Material.Biblioteca.Minergie[[#Headers],[Material.Biblioteca.Minergie]],VLOOKUP(F43,BIBLIOTECA.MINERGIE[#All],2,0),E43=Material.Biblioteca.Personal[[#Headers],[Material.Biblioteca.Personal]],VLOOKUP(F43,BIBLIOTECA.PERSONAL13[#All],2,0)),"-")</f>
        <v>-</v>
      </c>
      <c r="I43" s="381" t="str" cm="1">
        <f t="array" ref="I43">IFERROR(_xlfn.IFS(E43=Material.Biblioteca.Minergie[[#Headers],[Material.Biblioteca.Minergie]],VLOOKUP(F43,BIBLIOTECA.MINERGIE[#All],3,0),E43=Material.Biblioteca.Personal[[#Headers],[Material.Biblioteca.Personal]],VLOOKUP(F43,BIBLIOTECA.PERSONAL13[#All],3,0)),"-")</f>
        <v>-</v>
      </c>
      <c r="J43" s="360"/>
      <c r="K43" s="387">
        <f t="shared" si="0"/>
        <v>0</v>
      </c>
      <c r="N43" s="1443"/>
      <c r="O43" s="1443"/>
      <c r="P43" s="1443"/>
      <c r="Q43" s="1443"/>
      <c r="R43" s="1443"/>
    </row>
    <row r="44" spans="2:18" ht="50.1" customHeight="1">
      <c r="C44" s="359"/>
      <c r="D44" s="320"/>
      <c r="E44" s="320"/>
      <c r="F44" s="321"/>
      <c r="G44" s="381" t="str" cm="1">
        <f t="array" ref="G44">IFERROR(_xlfn.IFS(E44=Material.Biblioteca.Minergie[[#Headers],[Material.Biblioteca.Minergie]],VLOOKUP(F44,BIBLIOTECA.MINERGIE[#All],4,0),E44=Material.Biblioteca.Personal[[#Headers],[Material.Biblioteca.Personal]],VLOOKUP(F44,BIBLIOTECA.PERSONAL13[#All],4,0)),"-")</f>
        <v>-</v>
      </c>
      <c r="H44" s="381" t="str" cm="1">
        <f t="array" ref="H44">IFERROR(_xlfn.IFS(E44=Material.Biblioteca.Minergie[[#Headers],[Material.Biblioteca.Minergie]],VLOOKUP(F44,BIBLIOTECA.MINERGIE[#All],2,0),E44=Material.Biblioteca.Personal[[#Headers],[Material.Biblioteca.Personal]],VLOOKUP(F44,BIBLIOTECA.PERSONAL13[#All],2,0)),"-")</f>
        <v>-</v>
      </c>
      <c r="I44" s="381" t="str" cm="1">
        <f t="array" ref="I44">IFERROR(_xlfn.IFS(E44=Material.Biblioteca.Minergie[[#Headers],[Material.Biblioteca.Minergie]],VLOOKUP(F44,BIBLIOTECA.MINERGIE[#All],3,0),E44=Material.Biblioteca.Personal[[#Headers],[Material.Biblioteca.Personal]],VLOOKUP(F44,BIBLIOTECA.PERSONAL13[#All],3,0)),"-")</f>
        <v>-</v>
      </c>
      <c r="J44" s="360"/>
      <c r="K44" s="387">
        <f t="shared" si="0"/>
        <v>0</v>
      </c>
      <c r="N44" s="1443"/>
      <c r="O44" s="1443"/>
      <c r="P44" s="1443"/>
      <c r="Q44" s="1443"/>
      <c r="R44" s="1443"/>
    </row>
    <row r="45" spans="2:18" s="329" customFormat="1" ht="50.1" customHeight="1">
      <c r="C45" s="359"/>
      <c r="D45" s="320"/>
      <c r="E45" s="320"/>
      <c r="F45" s="321"/>
      <c r="G45" s="381" t="str" cm="1">
        <f t="array" ref="G45">IFERROR(_xlfn.IFS(E45=Material.Biblioteca.Minergie[[#Headers],[Material.Biblioteca.Minergie]],VLOOKUP(F45,BIBLIOTECA.MINERGIE[#All],4,0),E45=Material.Biblioteca.Personal[[#Headers],[Material.Biblioteca.Personal]],VLOOKUP(F45,BIBLIOTECA.PERSONAL13[#All],4,0)),"-")</f>
        <v>-</v>
      </c>
      <c r="H45" s="381" t="str" cm="1">
        <f t="array" ref="H45">IFERROR(_xlfn.IFS(E45=Material.Biblioteca.Minergie[[#Headers],[Material.Biblioteca.Minergie]],VLOOKUP(F45,BIBLIOTECA.MINERGIE[#All],2,0),E45=Material.Biblioteca.Personal[[#Headers],[Material.Biblioteca.Personal]],VLOOKUP(F45,BIBLIOTECA.PERSONAL13[#All],2,0)),"-")</f>
        <v>-</v>
      </c>
      <c r="I45" s="381" t="str" cm="1">
        <f t="array" ref="I45">IFERROR(_xlfn.IFS(E45=Material.Biblioteca.Minergie[[#Headers],[Material.Biblioteca.Minergie]],VLOOKUP(F45,BIBLIOTECA.MINERGIE[#All],3,0),E45=Material.Biblioteca.Personal[[#Headers],[Material.Biblioteca.Personal]],VLOOKUP(F45,BIBLIOTECA.PERSONAL13[#All],3,0)),"-")</f>
        <v>-</v>
      </c>
      <c r="J45" s="361"/>
      <c r="K45" s="387">
        <f t="shared" si="0"/>
        <v>0</v>
      </c>
      <c r="N45" s="1443"/>
      <c r="O45" s="1443"/>
      <c r="P45" s="1443"/>
      <c r="Q45" s="1443"/>
      <c r="R45" s="1443"/>
    </row>
    <row r="46" spans="2:18" ht="50.1" customHeight="1">
      <c r="C46" s="359"/>
      <c r="D46" s="320"/>
      <c r="E46" s="320"/>
      <c r="F46" s="321"/>
      <c r="G46" s="381" t="str" cm="1">
        <f t="array" ref="G46">IFERROR(_xlfn.IFS(E46=Material.Biblioteca.Minergie[[#Headers],[Material.Biblioteca.Minergie]],VLOOKUP(F46,BIBLIOTECA.MINERGIE[#All],4,0),E46=Material.Biblioteca.Personal[[#Headers],[Material.Biblioteca.Personal]],VLOOKUP(F46,BIBLIOTECA.PERSONAL13[#All],4,0)),"-")</f>
        <v>-</v>
      </c>
      <c r="H46" s="381" t="str" cm="1">
        <f t="array" ref="H46">IFERROR(_xlfn.IFS(E46=Material.Biblioteca.Minergie[[#Headers],[Material.Biblioteca.Minergie]],VLOOKUP(F46,BIBLIOTECA.MINERGIE[#All],2,0),E46=Material.Biblioteca.Personal[[#Headers],[Material.Biblioteca.Personal]],VLOOKUP(F46,BIBLIOTECA.PERSONAL13[#All],2,0)),"-")</f>
        <v>-</v>
      </c>
      <c r="I46" s="381" t="str" cm="1">
        <f t="array" ref="I46">IFERROR(_xlfn.IFS(E46=Material.Biblioteca.Minergie[[#Headers],[Material.Biblioteca.Minergie]],VLOOKUP(F46,BIBLIOTECA.MINERGIE[#All],3,0),E46=Material.Biblioteca.Personal[[#Headers],[Material.Biblioteca.Personal]],VLOOKUP(F46,BIBLIOTECA.PERSONAL13[#All],3,0)),"-")</f>
        <v>-</v>
      </c>
      <c r="J46" s="360"/>
      <c r="K46" s="387">
        <f t="shared" ref="K46:K76" si="1">IFERROR(I46*J46,0)</f>
        <v>0</v>
      </c>
      <c r="N46" s="1443"/>
      <c r="O46" s="1443"/>
      <c r="P46" s="1443"/>
      <c r="Q46" s="1443"/>
      <c r="R46" s="1443"/>
    </row>
    <row r="47" spans="2:18" ht="50.1" customHeight="1" thickBot="1">
      <c r="C47" s="359"/>
      <c r="D47" s="320"/>
      <c r="E47" s="320"/>
      <c r="F47" s="321"/>
      <c r="G47" s="381" t="str" cm="1">
        <f t="array" ref="G47">IFERROR(_xlfn.IFS(E47=Material.Biblioteca.Minergie[[#Headers],[Material.Biblioteca.Minergie]],VLOOKUP(F47,BIBLIOTECA.MINERGIE[#All],4,0),E47=Material.Biblioteca.Personal[[#Headers],[Material.Biblioteca.Personal]],VLOOKUP(F47,BIBLIOTECA.PERSONAL13[#All],4,0)),"-")</f>
        <v>-</v>
      </c>
      <c r="H47" s="381" t="str" cm="1">
        <f t="array" ref="H47">IFERROR(_xlfn.IFS(E47=Material.Biblioteca.Minergie[[#Headers],[Material.Biblioteca.Minergie]],VLOOKUP(F47,BIBLIOTECA.MINERGIE[#All],2,0),E47=Material.Biblioteca.Personal[[#Headers],[Material.Biblioteca.Personal]],VLOOKUP(F47,BIBLIOTECA.PERSONAL13[#All],2,0)),"-")</f>
        <v>-</v>
      </c>
      <c r="I47" s="381" t="str" cm="1">
        <f t="array" ref="I47">IFERROR(_xlfn.IFS(E47=Material.Biblioteca.Minergie[[#Headers],[Material.Biblioteca.Minergie]],VLOOKUP(F47,BIBLIOTECA.MINERGIE[#All],3,0),E47=Material.Biblioteca.Personal[[#Headers],[Material.Biblioteca.Personal]],VLOOKUP(F47,BIBLIOTECA.PERSONAL13[#All],3,0)),"-")</f>
        <v>-</v>
      </c>
      <c r="J47" s="360"/>
      <c r="K47" s="387">
        <f t="shared" ref="K47:K75" si="2">IFERROR(I47*J47,0)</f>
        <v>0</v>
      </c>
      <c r="N47" s="1443"/>
      <c r="O47" s="1443"/>
      <c r="P47" s="1443"/>
      <c r="Q47" s="1443"/>
      <c r="R47" s="1443"/>
    </row>
    <row r="48" spans="2:18" ht="50.1" customHeight="1">
      <c r="C48" s="359"/>
      <c r="D48" s="320"/>
      <c r="E48" s="320"/>
      <c r="F48" s="321"/>
      <c r="G48" s="381" t="str" cm="1">
        <f t="array" ref="G48">IFERROR(_xlfn.IFS(E48=Material.Biblioteca.Minergie[[#Headers],[Material.Biblioteca.Minergie]],VLOOKUP(F48,BIBLIOTECA.MINERGIE[#All],4,0),E48=Material.Biblioteca.Personal[[#Headers],[Material.Biblioteca.Personal]],VLOOKUP(F48,BIBLIOTECA.PERSONAL13[#All],4,0)),"-")</f>
        <v>-</v>
      </c>
      <c r="H48" s="381" t="str" cm="1">
        <f t="array" ref="H48">IFERROR(_xlfn.IFS(E48=Material.Biblioteca.Minergie[[#Headers],[Material.Biblioteca.Minergie]],VLOOKUP(F48,BIBLIOTECA.MINERGIE[#All],2,0),E48=Material.Biblioteca.Personal[[#Headers],[Material.Biblioteca.Personal]],VLOOKUP(F48,BIBLIOTECA.PERSONAL13[#All],2,0)),"-")</f>
        <v>-</v>
      </c>
      <c r="I48" s="381" t="str" cm="1">
        <f t="array" ref="I48">IFERROR(_xlfn.IFS(E48=Material.Biblioteca.Minergie[[#Headers],[Material.Biblioteca.Minergie]],VLOOKUP(F48,BIBLIOTECA.MINERGIE[#All],3,0),E48=Material.Biblioteca.Personal[[#Headers],[Material.Biblioteca.Personal]],VLOOKUP(F48,BIBLIOTECA.PERSONAL13[#All],3,0)),"-")</f>
        <v>-</v>
      </c>
      <c r="J48" s="360"/>
      <c r="K48" s="387">
        <f t="shared" si="2"/>
        <v>0</v>
      </c>
      <c r="N48" s="1444" t="s">
        <v>545</v>
      </c>
      <c r="O48" s="1445"/>
      <c r="P48" s="1445"/>
      <c r="Q48" s="1445"/>
      <c r="R48" s="1446"/>
    </row>
    <row r="49" spans="3:18" ht="50.1" customHeight="1">
      <c r="C49" s="359"/>
      <c r="D49" s="320"/>
      <c r="E49" s="320"/>
      <c r="F49" s="321"/>
      <c r="G49" s="381" t="str" cm="1">
        <f t="array" ref="G49">IFERROR(_xlfn.IFS(E49=Material.Biblioteca.Minergie[[#Headers],[Material.Biblioteca.Minergie]],VLOOKUP(F49,BIBLIOTECA.MINERGIE[#All],4,0),E49=Material.Biblioteca.Personal[[#Headers],[Material.Biblioteca.Personal]],VLOOKUP(F49,BIBLIOTECA.PERSONAL13[#All],4,0)),"-")</f>
        <v>-</v>
      </c>
      <c r="H49" s="381" t="str" cm="1">
        <f t="array" ref="H49">IFERROR(_xlfn.IFS(E49=Material.Biblioteca.Minergie[[#Headers],[Material.Biblioteca.Minergie]],VLOOKUP(F49,BIBLIOTECA.MINERGIE[#All],2,0),E49=Material.Biblioteca.Personal[[#Headers],[Material.Biblioteca.Personal]],VLOOKUP(F49,BIBLIOTECA.PERSONAL13[#All],2,0)),"-")</f>
        <v>-</v>
      </c>
      <c r="I49" s="381" t="str" cm="1">
        <f t="array" ref="I49">IFERROR(_xlfn.IFS(E49=Material.Biblioteca.Minergie[[#Headers],[Material.Biblioteca.Minergie]],VLOOKUP(F49,BIBLIOTECA.MINERGIE[#All],3,0),E49=Material.Biblioteca.Personal[[#Headers],[Material.Biblioteca.Personal]],VLOOKUP(F49,BIBLIOTECA.PERSONAL13[#All],3,0)),"-")</f>
        <v>-</v>
      </c>
      <c r="J49" s="360"/>
      <c r="K49" s="387">
        <f t="shared" si="2"/>
        <v>0</v>
      </c>
      <c r="N49" s="1447"/>
      <c r="O49" s="1448"/>
      <c r="P49" s="1448"/>
      <c r="Q49" s="1448"/>
      <c r="R49" s="1449"/>
    </row>
    <row r="50" spans="3:18" ht="50.1" customHeight="1">
      <c r="C50" s="359"/>
      <c r="D50" s="320"/>
      <c r="E50" s="320"/>
      <c r="F50" s="321"/>
      <c r="G50" s="381" t="str" cm="1">
        <f t="array" ref="G50">IFERROR(_xlfn.IFS(E50=Material.Biblioteca.Minergie[[#Headers],[Material.Biblioteca.Minergie]],VLOOKUP(F50,BIBLIOTECA.MINERGIE[#All],4,0),E50=Material.Biblioteca.Personal[[#Headers],[Material.Biblioteca.Personal]],VLOOKUP(F50,BIBLIOTECA.PERSONAL13[#All],4,0)),"-")</f>
        <v>-</v>
      </c>
      <c r="H50" s="381" t="str" cm="1">
        <f t="array" ref="H50">IFERROR(_xlfn.IFS(E50=Material.Biblioteca.Minergie[[#Headers],[Material.Biblioteca.Minergie]],VLOOKUP(F50,BIBLIOTECA.MINERGIE[#All],2,0),E50=Material.Biblioteca.Personal[[#Headers],[Material.Biblioteca.Personal]],VLOOKUP(F50,BIBLIOTECA.PERSONAL13[#All],2,0)),"-")</f>
        <v>-</v>
      </c>
      <c r="I50" s="381" t="str" cm="1">
        <f t="array" ref="I50">IFERROR(_xlfn.IFS(E50=Material.Biblioteca.Minergie[[#Headers],[Material.Biblioteca.Minergie]],VLOOKUP(F50,BIBLIOTECA.MINERGIE[#All],3,0),E50=Material.Biblioteca.Personal[[#Headers],[Material.Biblioteca.Personal]],VLOOKUP(F50,BIBLIOTECA.PERSONAL13[#All],3,0)),"-")</f>
        <v>-</v>
      </c>
      <c r="J50" s="360"/>
      <c r="K50" s="387">
        <f t="shared" si="2"/>
        <v>0</v>
      </c>
      <c r="N50" s="1447"/>
      <c r="O50" s="1448"/>
      <c r="P50" s="1448"/>
      <c r="Q50" s="1448"/>
      <c r="R50" s="1449"/>
    </row>
    <row r="51" spans="3:18" ht="50.1" customHeight="1" thickBot="1">
      <c r="C51" s="359"/>
      <c r="D51" s="320"/>
      <c r="E51" s="320"/>
      <c r="F51" s="321"/>
      <c r="G51" s="381" t="str" cm="1">
        <f t="array" ref="G51">IFERROR(_xlfn.IFS(E51=Material.Biblioteca.Minergie[[#Headers],[Material.Biblioteca.Minergie]],VLOOKUP(F51,BIBLIOTECA.MINERGIE[#All],4,0),E51=Material.Biblioteca.Personal[[#Headers],[Material.Biblioteca.Personal]],VLOOKUP(F51,BIBLIOTECA.PERSONAL13[#All],4,0)),"-")</f>
        <v>-</v>
      </c>
      <c r="H51" s="381" t="str" cm="1">
        <f t="array" ref="H51">IFERROR(_xlfn.IFS(E51=Material.Biblioteca.Minergie[[#Headers],[Material.Biblioteca.Minergie]],VLOOKUP(F51,BIBLIOTECA.MINERGIE[#All],2,0),E51=Material.Biblioteca.Personal[[#Headers],[Material.Biblioteca.Personal]],VLOOKUP(F51,BIBLIOTECA.PERSONAL13[#All],2,0)),"-")</f>
        <v>-</v>
      </c>
      <c r="I51" s="381" t="str" cm="1">
        <f t="array" ref="I51">IFERROR(_xlfn.IFS(E51=Material.Biblioteca.Minergie[[#Headers],[Material.Biblioteca.Minergie]],VLOOKUP(F51,BIBLIOTECA.MINERGIE[#All],3,0),E51=Material.Biblioteca.Personal[[#Headers],[Material.Biblioteca.Personal]],VLOOKUP(F51,BIBLIOTECA.PERSONAL13[#All],3,0)),"-")</f>
        <v>-</v>
      </c>
      <c r="J51" s="360"/>
      <c r="K51" s="387">
        <f t="shared" si="2"/>
        <v>0</v>
      </c>
      <c r="N51" s="1450"/>
      <c r="O51" s="1451"/>
      <c r="P51" s="1451"/>
      <c r="Q51" s="1451"/>
      <c r="R51" s="1452"/>
    </row>
    <row r="52" spans="3:18" ht="50.1" customHeight="1">
      <c r="C52" s="359"/>
      <c r="D52" s="320"/>
      <c r="E52" s="320"/>
      <c r="F52" s="321"/>
      <c r="G52" s="381" t="str" cm="1">
        <f t="array" ref="G52">IFERROR(_xlfn.IFS(E52=Material.Biblioteca.Minergie[[#Headers],[Material.Biblioteca.Minergie]],VLOOKUP(F52,BIBLIOTECA.MINERGIE[#All],4,0),E52=Material.Biblioteca.Personal[[#Headers],[Material.Biblioteca.Personal]],VLOOKUP(F52,BIBLIOTECA.PERSONAL13[#All],4,0)),"-")</f>
        <v>-</v>
      </c>
      <c r="H52" s="381" t="str" cm="1">
        <f t="array" ref="H52">IFERROR(_xlfn.IFS(E52=Material.Biblioteca.Minergie[[#Headers],[Material.Biblioteca.Minergie]],VLOOKUP(F52,BIBLIOTECA.MINERGIE[#All],2,0),E52=Material.Biblioteca.Personal[[#Headers],[Material.Biblioteca.Personal]],VLOOKUP(F52,BIBLIOTECA.PERSONAL13[#All],2,0)),"-")</f>
        <v>-</v>
      </c>
      <c r="I52" s="381" t="str" cm="1">
        <f t="array" ref="I52">IFERROR(_xlfn.IFS(E52=Material.Biblioteca.Minergie[[#Headers],[Material.Biblioteca.Minergie]],VLOOKUP(F52,BIBLIOTECA.MINERGIE[#All],3,0),E52=Material.Biblioteca.Personal[[#Headers],[Material.Biblioteca.Personal]],VLOOKUP(F52,BIBLIOTECA.PERSONAL13[#All],3,0)),"-")</f>
        <v>-</v>
      </c>
      <c r="J52" s="360"/>
      <c r="K52" s="387">
        <f t="shared" si="2"/>
        <v>0</v>
      </c>
      <c r="N52" s="1453" t="s">
        <v>546</v>
      </c>
      <c r="O52" s="1454"/>
      <c r="P52" s="1454"/>
      <c r="Q52" s="1454"/>
      <c r="R52" s="1455"/>
    </row>
    <row r="53" spans="3:18" ht="50.1" customHeight="1">
      <c r="C53" s="359"/>
      <c r="D53" s="320"/>
      <c r="E53" s="320"/>
      <c r="F53" s="321"/>
      <c r="G53" s="381" t="str" cm="1">
        <f t="array" ref="G53">IFERROR(_xlfn.IFS(E53=Material.Biblioteca.Minergie[[#Headers],[Material.Biblioteca.Minergie]],VLOOKUP(F53,BIBLIOTECA.MINERGIE[#All],4,0),E53=Material.Biblioteca.Personal[[#Headers],[Material.Biblioteca.Personal]],VLOOKUP(F53,BIBLIOTECA.PERSONAL13[#All],4,0)),"-")</f>
        <v>-</v>
      </c>
      <c r="H53" s="381" t="str" cm="1">
        <f t="array" ref="H53">IFERROR(_xlfn.IFS(E53=Material.Biblioteca.Minergie[[#Headers],[Material.Biblioteca.Minergie]],VLOOKUP(F53,BIBLIOTECA.MINERGIE[#All],2,0),E53=Material.Biblioteca.Personal[[#Headers],[Material.Biblioteca.Personal]],VLOOKUP(F53,BIBLIOTECA.PERSONAL13[#All],2,0)),"-")</f>
        <v>-</v>
      </c>
      <c r="I53" s="381" t="str" cm="1">
        <f t="array" ref="I53">IFERROR(_xlfn.IFS(E53=Material.Biblioteca.Minergie[[#Headers],[Material.Biblioteca.Minergie]],VLOOKUP(F53,BIBLIOTECA.MINERGIE[#All],3,0),E53=Material.Biblioteca.Personal[[#Headers],[Material.Biblioteca.Personal]],VLOOKUP(F53,BIBLIOTECA.PERSONAL13[#All],3,0)),"-")</f>
        <v>-</v>
      </c>
      <c r="J53" s="360"/>
      <c r="K53" s="387">
        <f t="shared" si="2"/>
        <v>0</v>
      </c>
      <c r="N53" s="1456"/>
      <c r="O53" s="1457"/>
      <c r="P53" s="1457"/>
      <c r="Q53" s="1457"/>
      <c r="R53" s="1458"/>
    </row>
    <row r="54" spans="3:18" ht="50.1" customHeight="1">
      <c r="C54" s="359"/>
      <c r="D54" s="320"/>
      <c r="E54" s="320"/>
      <c r="F54" s="321"/>
      <c r="G54" s="381" t="str" cm="1">
        <f t="array" ref="G54">IFERROR(_xlfn.IFS(E54=Material.Biblioteca.Minergie[[#Headers],[Material.Biblioteca.Minergie]],VLOOKUP(F54,BIBLIOTECA.MINERGIE[#All],4,0),E54=Material.Biblioteca.Personal[[#Headers],[Material.Biblioteca.Personal]],VLOOKUP(F54,BIBLIOTECA.PERSONAL13[#All],4,0)),"-")</f>
        <v>-</v>
      </c>
      <c r="H54" s="381" t="str" cm="1">
        <f t="array" ref="H54">IFERROR(_xlfn.IFS(E54=Material.Biblioteca.Minergie[[#Headers],[Material.Biblioteca.Minergie]],VLOOKUP(F54,BIBLIOTECA.MINERGIE[#All],2,0),E54=Material.Biblioteca.Personal[[#Headers],[Material.Biblioteca.Personal]],VLOOKUP(F54,BIBLIOTECA.PERSONAL13[#All],2,0)),"-")</f>
        <v>-</v>
      </c>
      <c r="I54" s="381" t="str" cm="1">
        <f t="array" ref="I54">IFERROR(_xlfn.IFS(E54=Material.Biblioteca.Minergie[[#Headers],[Material.Biblioteca.Minergie]],VLOOKUP(F54,BIBLIOTECA.MINERGIE[#All],3,0),E54=Material.Biblioteca.Personal[[#Headers],[Material.Biblioteca.Personal]],VLOOKUP(F54,BIBLIOTECA.PERSONAL13[#All],3,0)),"-")</f>
        <v>-</v>
      </c>
      <c r="J54" s="360"/>
      <c r="K54" s="387">
        <f t="shared" si="2"/>
        <v>0</v>
      </c>
      <c r="N54" s="1456"/>
      <c r="O54" s="1457"/>
      <c r="P54" s="1457"/>
      <c r="Q54" s="1457"/>
      <c r="R54" s="1458"/>
    </row>
    <row r="55" spans="3:18" ht="50.1" customHeight="1" thickBot="1">
      <c r="C55" s="359"/>
      <c r="D55" s="320"/>
      <c r="E55" s="320"/>
      <c r="F55" s="321"/>
      <c r="G55" s="381" t="str" cm="1">
        <f t="array" ref="G55">IFERROR(_xlfn.IFS(E55=Material.Biblioteca.Minergie[[#Headers],[Material.Biblioteca.Minergie]],VLOOKUP(F55,BIBLIOTECA.MINERGIE[#All],4,0),E55=Material.Biblioteca.Personal[[#Headers],[Material.Biblioteca.Personal]],VLOOKUP(F55,BIBLIOTECA.PERSONAL13[#All],4,0)),"-")</f>
        <v>-</v>
      </c>
      <c r="H55" s="381" t="str" cm="1">
        <f t="array" ref="H55">IFERROR(_xlfn.IFS(E55=Material.Biblioteca.Minergie[[#Headers],[Material.Biblioteca.Minergie]],VLOOKUP(F55,BIBLIOTECA.MINERGIE[#All],2,0),E55=Material.Biblioteca.Personal[[#Headers],[Material.Biblioteca.Personal]],VLOOKUP(F55,BIBLIOTECA.PERSONAL13[#All],2,0)),"-")</f>
        <v>-</v>
      </c>
      <c r="I55" s="381" t="str" cm="1">
        <f t="array" ref="I55">IFERROR(_xlfn.IFS(E55=Material.Biblioteca.Minergie[[#Headers],[Material.Biblioteca.Minergie]],VLOOKUP(F55,BIBLIOTECA.MINERGIE[#All],3,0),E55=Material.Biblioteca.Personal[[#Headers],[Material.Biblioteca.Personal]],VLOOKUP(F55,BIBLIOTECA.PERSONAL13[#All],3,0)),"-")</f>
        <v>-</v>
      </c>
      <c r="J55" s="360"/>
      <c r="K55" s="387">
        <f t="shared" si="2"/>
        <v>0</v>
      </c>
      <c r="N55" s="1459"/>
      <c r="O55" s="1460"/>
      <c r="P55" s="1460"/>
      <c r="Q55" s="1460"/>
      <c r="R55" s="1461"/>
    </row>
    <row r="56" spans="3:18" ht="50.1" customHeight="1">
      <c r="C56" s="359"/>
      <c r="D56" s="320"/>
      <c r="E56" s="320"/>
      <c r="F56" s="321"/>
      <c r="G56" s="381" t="str" cm="1">
        <f t="array" ref="G56">IFERROR(_xlfn.IFS(E56=Material.Biblioteca.Minergie[[#Headers],[Material.Biblioteca.Minergie]],VLOOKUP(F56,BIBLIOTECA.MINERGIE[#All],4,0),E56=Material.Biblioteca.Personal[[#Headers],[Material.Biblioteca.Personal]],VLOOKUP(F56,BIBLIOTECA.PERSONAL13[#All],4,0)),"-")</f>
        <v>-</v>
      </c>
      <c r="H56" s="381" t="str" cm="1">
        <f t="array" ref="H56">IFERROR(_xlfn.IFS(E56=Material.Biblioteca.Minergie[[#Headers],[Material.Biblioteca.Minergie]],VLOOKUP(F56,BIBLIOTECA.MINERGIE[#All],2,0),E56=Material.Biblioteca.Personal[[#Headers],[Material.Biblioteca.Personal]],VLOOKUP(F56,BIBLIOTECA.PERSONAL13[#All],2,0)),"-")</f>
        <v>-</v>
      </c>
      <c r="I56" s="381" t="str" cm="1">
        <f t="array" ref="I56">IFERROR(_xlfn.IFS(E56=Material.Biblioteca.Minergie[[#Headers],[Material.Biblioteca.Minergie]],VLOOKUP(F56,BIBLIOTECA.MINERGIE[#All],3,0),E56=Material.Biblioteca.Personal[[#Headers],[Material.Biblioteca.Personal]],VLOOKUP(F56,BIBLIOTECA.PERSONAL13[#All],3,0)),"-")</f>
        <v>-</v>
      </c>
      <c r="J56" s="360"/>
      <c r="K56" s="387">
        <f t="shared" si="2"/>
        <v>0</v>
      </c>
      <c r="N56" s="362"/>
      <c r="O56" s="362"/>
      <c r="P56" s="362"/>
      <c r="Q56" s="362"/>
      <c r="R56" s="362"/>
    </row>
    <row r="57" spans="3:18" ht="50.1" customHeight="1">
      <c r="C57" s="359"/>
      <c r="D57" s="320"/>
      <c r="E57" s="320"/>
      <c r="F57" s="321"/>
      <c r="G57" s="381" t="str" cm="1">
        <f t="array" ref="G57">IFERROR(_xlfn.IFS(E57=Material.Biblioteca.Minergie[[#Headers],[Material.Biblioteca.Minergie]],VLOOKUP(F57,BIBLIOTECA.MINERGIE[#All],4,0),E57=Material.Biblioteca.Personal[[#Headers],[Material.Biblioteca.Personal]],VLOOKUP(F57,BIBLIOTECA.PERSONAL13[#All],4,0)),"-")</f>
        <v>-</v>
      </c>
      <c r="H57" s="381" t="str" cm="1">
        <f t="array" ref="H57">IFERROR(_xlfn.IFS(E57=Material.Biblioteca.Minergie[[#Headers],[Material.Biblioteca.Minergie]],VLOOKUP(F57,BIBLIOTECA.MINERGIE[#All],2,0),E57=Material.Biblioteca.Personal[[#Headers],[Material.Biblioteca.Personal]],VLOOKUP(F57,BIBLIOTECA.PERSONAL13[#All],2,0)),"-")</f>
        <v>-</v>
      </c>
      <c r="I57" s="381" t="str" cm="1">
        <f t="array" ref="I57">IFERROR(_xlfn.IFS(E57=Material.Biblioteca.Minergie[[#Headers],[Material.Biblioteca.Minergie]],VLOOKUP(F57,BIBLIOTECA.MINERGIE[#All],3,0),E57=Material.Biblioteca.Personal[[#Headers],[Material.Biblioteca.Personal]],VLOOKUP(F57,BIBLIOTECA.PERSONAL13[#All],3,0)),"-")</f>
        <v>-</v>
      </c>
      <c r="J57" s="360"/>
      <c r="K57" s="387">
        <f t="shared" si="2"/>
        <v>0</v>
      </c>
      <c r="N57" s="362"/>
      <c r="O57" s="362"/>
      <c r="P57" s="362"/>
      <c r="Q57" s="362"/>
      <c r="R57" s="362"/>
    </row>
    <row r="58" spans="3:18" ht="50.1" customHeight="1">
      <c r="C58" s="359"/>
      <c r="D58" s="320"/>
      <c r="E58" s="320"/>
      <c r="F58" s="321"/>
      <c r="G58" s="381" t="str" cm="1">
        <f t="array" ref="G58">IFERROR(_xlfn.IFS(E58=Material.Biblioteca.Minergie[[#Headers],[Material.Biblioteca.Minergie]],VLOOKUP(F58,BIBLIOTECA.MINERGIE[#All],4,0),E58=Material.Biblioteca.Personal[[#Headers],[Material.Biblioteca.Personal]],VLOOKUP(F58,BIBLIOTECA.PERSONAL13[#All],4,0)),"-")</f>
        <v>-</v>
      </c>
      <c r="H58" s="381" t="str" cm="1">
        <f t="array" ref="H58">IFERROR(_xlfn.IFS(E58=Material.Biblioteca.Minergie[[#Headers],[Material.Biblioteca.Minergie]],VLOOKUP(F58,BIBLIOTECA.MINERGIE[#All],2,0),E58=Material.Biblioteca.Personal[[#Headers],[Material.Biblioteca.Personal]],VLOOKUP(F58,BIBLIOTECA.PERSONAL13[#All],2,0)),"-")</f>
        <v>-</v>
      </c>
      <c r="I58" s="381" t="str" cm="1">
        <f t="array" ref="I58">IFERROR(_xlfn.IFS(E58=Material.Biblioteca.Minergie[[#Headers],[Material.Biblioteca.Minergie]],VLOOKUP(F58,BIBLIOTECA.MINERGIE[#All],3,0),E58=Material.Biblioteca.Personal[[#Headers],[Material.Biblioteca.Personal]],VLOOKUP(F58,BIBLIOTECA.PERSONAL13[#All],3,0)),"-")</f>
        <v>-</v>
      </c>
      <c r="J58" s="360"/>
      <c r="K58" s="387">
        <f t="shared" si="2"/>
        <v>0</v>
      </c>
      <c r="N58" s="362"/>
      <c r="O58" s="362"/>
      <c r="P58" s="362"/>
      <c r="Q58" s="362"/>
      <c r="R58" s="362"/>
    </row>
    <row r="59" spans="3:18" ht="50.1" customHeight="1">
      <c r="C59" s="359"/>
      <c r="D59" s="320"/>
      <c r="E59" s="320"/>
      <c r="F59" s="321"/>
      <c r="G59" s="381" t="str" cm="1">
        <f t="array" ref="G59">IFERROR(_xlfn.IFS(E59=Material.Biblioteca.Minergie[[#Headers],[Material.Biblioteca.Minergie]],VLOOKUP(F59,BIBLIOTECA.MINERGIE[#All],4,0),E59=Material.Biblioteca.Personal[[#Headers],[Material.Biblioteca.Personal]],VLOOKUP(F59,BIBLIOTECA.PERSONAL13[#All],4,0)),"-")</f>
        <v>-</v>
      </c>
      <c r="H59" s="381" t="str" cm="1">
        <f t="array" ref="H59">IFERROR(_xlfn.IFS(E59=Material.Biblioteca.Minergie[[#Headers],[Material.Biblioteca.Minergie]],VLOOKUP(F59,BIBLIOTECA.MINERGIE[#All],2,0),E59=Material.Biblioteca.Personal[[#Headers],[Material.Biblioteca.Personal]],VLOOKUP(F59,BIBLIOTECA.PERSONAL13[#All],2,0)),"-")</f>
        <v>-</v>
      </c>
      <c r="I59" s="381" t="str" cm="1">
        <f t="array" ref="I59">IFERROR(_xlfn.IFS(E59=Material.Biblioteca.Minergie[[#Headers],[Material.Biblioteca.Minergie]],VLOOKUP(F59,BIBLIOTECA.MINERGIE[#All],3,0),E59=Material.Biblioteca.Personal[[#Headers],[Material.Biblioteca.Personal]],VLOOKUP(F59,BIBLIOTECA.PERSONAL13[#All],3,0)),"-")</f>
        <v>-</v>
      </c>
      <c r="J59" s="360"/>
      <c r="K59" s="387">
        <f t="shared" si="2"/>
        <v>0</v>
      </c>
      <c r="N59" s="362"/>
      <c r="O59" s="362"/>
      <c r="P59" s="362"/>
      <c r="Q59" s="362"/>
      <c r="R59" s="362"/>
    </row>
    <row r="60" spans="3:18" ht="50.1" customHeight="1">
      <c r="C60" s="359"/>
      <c r="D60" s="320"/>
      <c r="E60" s="320"/>
      <c r="F60" s="321"/>
      <c r="G60" s="381" t="str" cm="1">
        <f t="array" ref="G60">IFERROR(_xlfn.IFS(E60=Material.Biblioteca.Minergie[[#Headers],[Material.Biblioteca.Minergie]],VLOOKUP(F60,BIBLIOTECA.MINERGIE[#All],4,0),E60=Material.Biblioteca.Personal[[#Headers],[Material.Biblioteca.Personal]],VLOOKUP(F60,BIBLIOTECA.PERSONAL13[#All],4,0)),"-")</f>
        <v>-</v>
      </c>
      <c r="H60" s="381" t="str" cm="1">
        <f t="array" ref="H60">IFERROR(_xlfn.IFS(E60=Material.Biblioteca.Minergie[[#Headers],[Material.Biblioteca.Minergie]],VLOOKUP(F60,BIBLIOTECA.MINERGIE[#All],2,0),E60=Material.Biblioteca.Personal[[#Headers],[Material.Biblioteca.Personal]],VLOOKUP(F60,BIBLIOTECA.PERSONAL13[#All],2,0)),"-")</f>
        <v>-</v>
      </c>
      <c r="I60" s="381" t="str" cm="1">
        <f t="array" ref="I60">IFERROR(_xlfn.IFS(E60=Material.Biblioteca.Minergie[[#Headers],[Material.Biblioteca.Minergie]],VLOOKUP(F60,BIBLIOTECA.MINERGIE[#All],3,0),E60=Material.Biblioteca.Personal[[#Headers],[Material.Biblioteca.Personal]],VLOOKUP(F60,BIBLIOTECA.PERSONAL13[#All],3,0)),"-")</f>
        <v>-</v>
      </c>
      <c r="J60" s="360"/>
      <c r="K60" s="387">
        <f t="shared" si="2"/>
        <v>0</v>
      </c>
      <c r="N60" s="362"/>
      <c r="O60" s="362"/>
      <c r="P60" s="362"/>
      <c r="Q60" s="362"/>
      <c r="R60" s="362"/>
    </row>
    <row r="61" spans="3:18" ht="50.1" customHeight="1">
      <c r="C61" s="359"/>
      <c r="D61" s="320"/>
      <c r="E61" s="320"/>
      <c r="F61" s="321"/>
      <c r="G61" s="381" t="str" cm="1">
        <f t="array" ref="G61">IFERROR(_xlfn.IFS(E61=Material.Biblioteca.Minergie[[#Headers],[Material.Biblioteca.Minergie]],VLOOKUP(F61,BIBLIOTECA.MINERGIE[#All],4,0),E61=Material.Biblioteca.Personal[[#Headers],[Material.Biblioteca.Personal]],VLOOKUP(F61,BIBLIOTECA.PERSONAL13[#All],4,0)),"-")</f>
        <v>-</v>
      </c>
      <c r="H61" s="381" t="str" cm="1">
        <f t="array" ref="H61">IFERROR(_xlfn.IFS(E61=Material.Biblioteca.Minergie[[#Headers],[Material.Biblioteca.Minergie]],VLOOKUP(F61,BIBLIOTECA.MINERGIE[#All],2,0),E61=Material.Biblioteca.Personal[[#Headers],[Material.Biblioteca.Personal]],VLOOKUP(F61,BIBLIOTECA.PERSONAL13[#All],2,0)),"-")</f>
        <v>-</v>
      </c>
      <c r="I61" s="381" t="str" cm="1">
        <f t="array" ref="I61">IFERROR(_xlfn.IFS(E61=Material.Biblioteca.Minergie[[#Headers],[Material.Biblioteca.Minergie]],VLOOKUP(F61,BIBLIOTECA.MINERGIE[#All],3,0),E61=Material.Biblioteca.Personal[[#Headers],[Material.Biblioteca.Personal]],VLOOKUP(F61,BIBLIOTECA.PERSONAL13[#All],3,0)),"-")</f>
        <v>-</v>
      </c>
      <c r="J61" s="360"/>
      <c r="K61" s="387">
        <f t="shared" si="2"/>
        <v>0</v>
      </c>
      <c r="N61" s="362"/>
      <c r="O61" s="362"/>
      <c r="P61" s="362"/>
      <c r="Q61" s="362"/>
      <c r="R61" s="362"/>
    </row>
    <row r="62" spans="3:18" ht="50.1" customHeight="1">
      <c r="C62" s="359"/>
      <c r="D62" s="320"/>
      <c r="E62" s="320"/>
      <c r="F62" s="321"/>
      <c r="G62" s="381" t="str" cm="1">
        <f t="array" ref="G62">IFERROR(_xlfn.IFS(E62=Material.Biblioteca.Minergie[[#Headers],[Material.Biblioteca.Minergie]],VLOOKUP(F62,BIBLIOTECA.MINERGIE[#All],4,0),E62=Material.Biblioteca.Personal[[#Headers],[Material.Biblioteca.Personal]],VLOOKUP(F62,BIBLIOTECA.PERSONAL13[#All],4,0)),"-")</f>
        <v>-</v>
      </c>
      <c r="H62" s="381" t="str" cm="1">
        <f t="array" ref="H62">IFERROR(_xlfn.IFS(E62=Material.Biblioteca.Minergie[[#Headers],[Material.Biblioteca.Minergie]],VLOOKUP(F62,BIBLIOTECA.MINERGIE[#All],2,0),E62=Material.Biblioteca.Personal[[#Headers],[Material.Biblioteca.Personal]],VLOOKUP(F62,BIBLIOTECA.PERSONAL13[#All],2,0)),"-")</f>
        <v>-</v>
      </c>
      <c r="I62" s="381" t="str" cm="1">
        <f t="array" ref="I62">IFERROR(_xlfn.IFS(E62=Material.Biblioteca.Minergie[[#Headers],[Material.Biblioteca.Minergie]],VLOOKUP(F62,BIBLIOTECA.MINERGIE[#All],3,0),E62=Material.Biblioteca.Personal[[#Headers],[Material.Biblioteca.Personal]],VLOOKUP(F62,BIBLIOTECA.PERSONAL13[#All],3,0)),"-")</f>
        <v>-</v>
      </c>
      <c r="J62" s="360"/>
      <c r="K62" s="387">
        <f t="shared" si="2"/>
        <v>0</v>
      </c>
      <c r="N62" s="362"/>
      <c r="O62" s="362"/>
      <c r="P62" s="362"/>
      <c r="Q62" s="362"/>
      <c r="R62" s="362"/>
    </row>
    <row r="63" spans="3:18" ht="50.1" customHeight="1">
      <c r="C63" s="359"/>
      <c r="D63" s="320"/>
      <c r="E63" s="320"/>
      <c r="F63" s="321"/>
      <c r="G63" s="381" t="str" cm="1">
        <f t="array" ref="G63">IFERROR(_xlfn.IFS(E63=Material.Biblioteca.Minergie[[#Headers],[Material.Biblioteca.Minergie]],VLOOKUP(F63,BIBLIOTECA.MINERGIE[#All],4,0),E63=Material.Biblioteca.Personal[[#Headers],[Material.Biblioteca.Personal]],VLOOKUP(F63,BIBLIOTECA.PERSONAL13[#All],4,0)),"-")</f>
        <v>-</v>
      </c>
      <c r="H63" s="381" t="str" cm="1">
        <f t="array" ref="H63">IFERROR(_xlfn.IFS(E63=Material.Biblioteca.Minergie[[#Headers],[Material.Biblioteca.Minergie]],VLOOKUP(F63,BIBLIOTECA.MINERGIE[#All],2,0),E63=Material.Biblioteca.Personal[[#Headers],[Material.Biblioteca.Personal]],VLOOKUP(F63,BIBLIOTECA.PERSONAL13[#All],2,0)),"-")</f>
        <v>-</v>
      </c>
      <c r="I63" s="381" t="str" cm="1">
        <f t="array" ref="I63">IFERROR(_xlfn.IFS(E63=Material.Biblioteca.Minergie[[#Headers],[Material.Biblioteca.Minergie]],VLOOKUP(F63,BIBLIOTECA.MINERGIE[#All],3,0),E63=Material.Biblioteca.Personal[[#Headers],[Material.Biblioteca.Personal]],VLOOKUP(F63,BIBLIOTECA.PERSONAL13[#All],3,0)),"-")</f>
        <v>-</v>
      </c>
      <c r="J63" s="360"/>
      <c r="K63" s="387">
        <f t="shared" si="2"/>
        <v>0</v>
      </c>
      <c r="N63" s="362"/>
      <c r="O63" s="362"/>
      <c r="P63" s="362"/>
      <c r="Q63" s="362"/>
      <c r="R63" s="362"/>
    </row>
    <row r="64" spans="3:18" ht="50.1" customHeight="1">
      <c r="C64" s="359"/>
      <c r="D64" s="320"/>
      <c r="E64" s="320"/>
      <c r="F64" s="321"/>
      <c r="G64" s="381" t="str" cm="1">
        <f t="array" ref="G64">IFERROR(_xlfn.IFS(E64=Material.Biblioteca.Minergie[[#Headers],[Material.Biblioteca.Minergie]],VLOOKUP(F64,BIBLIOTECA.MINERGIE[#All],4,0),E64=Material.Biblioteca.Personal[[#Headers],[Material.Biblioteca.Personal]],VLOOKUP(F64,BIBLIOTECA.PERSONAL13[#All],4,0)),"-")</f>
        <v>-</v>
      </c>
      <c r="H64" s="381" t="str" cm="1">
        <f t="array" ref="H64">IFERROR(_xlfn.IFS(E64=Material.Biblioteca.Minergie[[#Headers],[Material.Biblioteca.Minergie]],VLOOKUP(F64,BIBLIOTECA.MINERGIE[#All],2,0),E64=Material.Biblioteca.Personal[[#Headers],[Material.Biblioteca.Personal]],VLOOKUP(F64,BIBLIOTECA.PERSONAL13[#All],2,0)),"-")</f>
        <v>-</v>
      </c>
      <c r="I64" s="381" t="str" cm="1">
        <f t="array" ref="I64">IFERROR(_xlfn.IFS(E64=Material.Biblioteca.Minergie[[#Headers],[Material.Biblioteca.Minergie]],VLOOKUP(F64,BIBLIOTECA.MINERGIE[#All],3,0),E64=Material.Biblioteca.Personal[[#Headers],[Material.Biblioteca.Personal]],VLOOKUP(F64,BIBLIOTECA.PERSONAL13[#All],3,0)),"-")</f>
        <v>-</v>
      </c>
      <c r="J64" s="360"/>
      <c r="K64" s="387">
        <f t="shared" si="2"/>
        <v>0</v>
      </c>
      <c r="N64" s="362"/>
      <c r="O64" s="362"/>
      <c r="P64" s="362"/>
      <c r="Q64" s="362"/>
      <c r="R64" s="362"/>
    </row>
    <row r="65" spans="3:18" ht="50.1" customHeight="1">
      <c r="C65" s="359"/>
      <c r="D65" s="320"/>
      <c r="E65" s="320"/>
      <c r="F65" s="321"/>
      <c r="G65" s="381" t="str" cm="1">
        <f t="array" ref="G65">IFERROR(_xlfn.IFS(E65=Material.Biblioteca.Minergie[[#Headers],[Material.Biblioteca.Minergie]],VLOOKUP(F65,BIBLIOTECA.MINERGIE[#All],4,0),E65=Material.Biblioteca.Personal[[#Headers],[Material.Biblioteca.Personal]],VLOOKUP(F65,BIBLIOTECA.PERSONAL13[#All],4,0)),"-")</f>
        <v>-</v>
      </c>
      <c r="H65" s="381" t="str" cm="1">
        <f t="array" ref="H65">IFERROR(_xlfn.IFS(E65=Material.Biblioteca.Minergie[[#Headers],[Material.Biblioteca.Minergie]],VLOOKUP(F65,BIBLIOTECA.MINERGIE[#All],2,0),E65=Material.Biblioteca.Personal[[#Headers],[Material.Biblioteca.Personal]],VLOOKUP(F65,BIBLIOTECA.PERSONAL13[#All],2,0)),"-")</f>
        <v>-</v>
      </c>
      <c r="I65" s="381" t="str" cm="1">
        <f t="array" ref="I65">IFERROR(_xlfn.IFS(E65=Material.Biblioteca.Minergie[[#Headers],[Material.Biblioteca.Minergie]],VLOOKUP(F65,BIBLIOTECA.MINERGIE[#All],3,0),E65=Material.Biblioteca.Personal[[#Headers],[Material.Biblioteca.Personal]],VLOOKUP(F65,BIBLIOTECA.PERSONAL13[#All],3,0)),"-")</f>
        <v>-</v>
      </c>
      <c r="J65" s="360"/>
      <c r="K65" s="387">
        <f t="shared" si="2"/>
        <v>0</v>
      </c>
      <c r="N65" s="362"/>
      <c r="O65" s="362"/>
      <c r="P65" s="362"/>
      <c r="Q65" s="362"/>
      <c r="R65" s="362"/>
    </row>
    <row r="66" spans="3:18" ht="50.1" customHeight="1">
      <c r="C66" s="359"/>
      <c r="D66" s="320"/>
      <c r="E66" s="320"/>
      <c r="F66" s="321"/>
      <c r="G66" s="381" t="str" cm="1">
        <f t="array" ref="G66">IFERROR(_xlfn.IFS(E66=Material.Biblioteca.Minergie[[#Headers],[Material.Biblioteca.Minergie]],VLOOKUP(F66,BIBLIOTECA.MINERGIE[#All],4,0),E66=Material.Biblioteca.Personal[[#Headers],[Material.Biblioteca.Personal]],VLOOKUP(F66,BIBLIOTECA.PERSONAL13[#All],4,0)),"-")</f>
        <v>-</v>
      </c>
      <c r="H66" s="381" t="str" cm="1">
        <f t="array" ref="H66">IFERROR(_xlfn.IFS(E66=Material.Biblioteca.Minergie[[#Headers],[Material.Biblioteca.Minergie]],VLOOKUP(F66,BIBLIOTECA.MINERGIE[#All],2,0),E66=Material.Biblioteca.Personal[[#Headers],[Material.Biblioteca.Personal]],VLOOKUP(F66,BIBLIOTECA.PERSONAL13[#All],2,0)),"-")</f>
        <v>-</v>
      </c>
      <c r="I66" s="381" t="str" cm="1">
        <f t="array" ref="I66">IFERROR(_xlfn.IFS(E66=Material.Biblioteca.Minergie[[#Headers],[Material.Biblioteca.Minergie]],VLOOKUP(F66,BIBLIOTECA.MINERGIE[#All],3,0),E66=Material.Biblioteca.Personal[[#Headers],[Material.Biblioteca.Personal]],VLOOKUP(F66,BIBLIOTECA.PERSONAL13[#All],3,0)),"-")</f>
        <v>-</v>
      </c>
      <c r="J66" s="360"/>
      <c r="K66" s="387">
        <f t="shared" si="2"/>
        <v>0</v>
      </c>
      <c r="N66" s="362"/>
      <c r="O66" s="362"/>
      <c r="P66" s="362"/>
      <c r="Q66" s="362"/>
      <c r="R66" s="362"/>
    </row>
    <row r="67" spans="3:18" ht="50.1" customHeight="1">
      <c r="C67" s="359"/>
      <c r="D67" s="320"/>
      <c r="E67" s="320"/>
      <c r="F67" s="321"/>
      <c r="G67" s="381" t="str" cm="1">
        <f t="array" ref="G67">IFERROR(_xlfn.IFS(E67=Material.Biblioteca.Minergie[[#Headers],[Material.Biblioteca.Minergie]],VLOOKUP(F67,BIBLIOTECA.MINERGIE[#All],4,0),E67=Material.Biblioteca.Personal[[#Headers],[Material.Biblioteca.Personal]],VLOOKUP(F67,BIBLIOTECA.PERSONAL13[#All],4,0)),"-")</f>
        <v>-</v>
      </c>
      <c r="H67" s="381" t="str" cm="1">
        <f t="array" ref="H67">IFERROR(_xlfn.IFS(E67=Material.Biblioteca.Minergie[[#Headers],[Material.Biblioteca.Minergie]],VLOOKUP(F67,BIBLIOTECA.MINERGIE[#All],2,0),E67=Material.Biblioteca.Personal[[#Headers],[Material.Biblioteca.Personal]],VLOOKUP(F67,BIBLIOTECA.PERSONAL13[#All],2,0)),"-")</f>
        <v>-</v>
      </c>
      <c r="I67" s="381" t="str" cm="1">
        <f t="array" ref="I67">IFERROR(_xlfn.IFS(E67=Material.Biblioteca.Minergie[[#Headers],[Material.Biblioteca.Minergie]],VLOOKUP(F67,BIBLIOTECA.MINERGIE[#All],3,0),E67=Material.Biblioteca.Personal[[#Headers],[Material.Biblioteca.Personal]],VLOOKUP(F67,BIBLIOTECA.PERSONAL13[#All],3,0)),"-")</f>
        <v>-</v>
      </c>
      <c r="J67" s="360"/>
      <c r="K67" s="387">
        <f t="shared" si="2"/>
        <v>0</v>
      </c>
      <c r="N67" s="362"/>
      <c r="O67" s="362"/>
      <c r="P67" s="362"/>
      <c r="Q67" s="362"/>
      <c r="R67" s="362"/>
    </row>
    <row r="68" spans="3:18" ht="50.1" customHeight="1">
      <c r="C68" s="359"/>
      <c r="D68" s="320"/>
      <c r="E68" s="320"/>
      <c r="F68" s="321"/>
      <c r="G68" s="381" t="str" cm="1">
        <f t="array" ref="G68">IFERROR(_xlfn.IFS(E68=Material.Biblioteca.Minergie[[#Headers],[Material.Biblioteca.Minergie]],VLOOKUP(F68,BIBLIOTECA.MINERGIE[#All],4,0),E68=Material.Biblioteca.Personal[[#Headers],[Material.Biblioteca.Personal]],VLOOKUP(F68,BIBLIOTECA.PERSONAL13[#All],4,0)),"-")</f>
        <v>-</v>
      </c>
      <c r="H68" s="381" t="str" cm="1">
        <f t="array" ref="H68">IFERROR(_xlfn.IFS(E68=Material.Biblioteca.Minergie[[#Headers],[Material.Biblioteca.Minergie]],VLOOKUP(F68,BIBLIOTECA.MINERGIE[#All],2,0),E68=Material.Biblioteca.Personal[[#Headers],[Material.Biblioteca.Personal]],VLOOKUP(F68,BIBLIOTECA.PERSONAL13[#All],2,0)),"-")</f>
        <v>-</v>
      </c>
      <c r="I68" s="381" t="str" cm="1">
        <f t="array" ref="I68">IFERROR(_xlfn.IFS(E68=Material.Biblioteca.Minergie[[#Headers],[Material.Biblioteca.Minergie]],VLOOKUP(F68,BIBLIOTECA.MINERGIE[#All],3,0),E68=Material.Biblioteca.Personal[[#Headers],[Material.Biblioteca.Personal]],VLOOKUP(F68,BIBLIOTECA.PERSONAL13[#All],3,0)),"-")</f>
        <v>-</v>
      </c>
      <c r="J68" s="360"/>
      <c r="K68" s="387">
        <f t="shared" si="2"/>
        <v>0</v>
      </c>
      <c r="N68" s="362"/>
      <c r="O68" s="362"/>
      <c r="P68" s="362"/>
      <c r="Q68" s="362"/>
      <c r="R68" s="362"/>
    </row>
    <row r="69" spans="3:18" ht="50.1" customHeight="1">
      <c r="C69" s="359"/>
      <c r="D69" s="320"/>
      <c r="E69" s="320"/>
      <c r="F69" s="321"/>
      <c r="G69" s="381" t="str" cm="1">
        <f t="array" ref="G69">IFERROR(_xlfn.IFS(E69=Material.Biblioteca.Minergie[[#Headers],[Material.Biblioteca.Minergie]],VLOOKUP(F69,BIBLIOTECA.MINERGIE[#All],4,0),E69=Material.Biblioteca.Personal[[#Headers],[Material.Biblioteca.Personal]],VLOOKUP(F69,BIBLIOTECA.PERSONAL13[#All],4,0)),"-")</f>
        <v>-</v>
      </c>
      <c r="H69" s="381" t="str" cm="1">
        <f t="array" ref="H69">IFERROR(_xlfn.IFS(E69=Material.Biblioteca.Minergie[[#Headers],[Material.Biblioteca.Minergie]],VLOOKUP(F69,BIBLIOTECA.MINERGIE[#All],2,0),E69=Material.Biblioteca.Personal[[#Headers],[Material.Biblioteca.Personal]],VLOOKUP(F69,BIBLIOTECA.PERSONAL13[#All],2,0)),"-")</f>
        <v>-</v>
      </c>
      <c r="I69" s="381" t="str" cm="1">
        <f t="array" ref="I69">IFERROR(_xlfn.IFS(E69=Material.Biblioteca.Minergie[[#Headers],[Material.Biblioteca.Minergie]],VLOOKUP(F69,BIBLIOTECA.MINERGIE[#All],3,0),E69=Material.Biblioteca.Personal[[#Headers],[Material.Biblioteca.Personal]],VLOOKUP(F69,BIBLIOTECA.PERSONAL13[#All],3,0)),"-")</f>
        <v>-</v>
      </c>
      <c r="J69" s="360"/>
      <c r="K69" s="387">
        <f t="shared" si="2"/>
        <v>0</v>
      </c>
    </row>
    <row r="70" spans="3:18" ht="50.1" customHeight="1">
      <c r="C70" s="359"/>
      <c r="D70" s="320"/>
      <c r="E70" s="320"/>
      <c r="F70" s="321"/>
      <c r="G70" s="381" t="str" cm="1">
        <f t="array" ref="G70">IFERROR(_xlfn.IFS(E70=Material.Biblioteca.Minergie[[#Headers],[Material.Biblioteca.Minergie]],VLOOKUP(F70,BIBLIOTECA.MINERGIE[#All],4,0),E70=Material.Biblioteca.Personal[[#Headers],[Material.Biblioteca.Personal]],VLOOKUP(F70,BIBLIOTECA.PERSONAL13[#All],4,0)),"-")</f>
        <v>-</v>
      </c>
      <c r="H70" s="381" t="str" cm="1">
        <f t="array" ref="H70">IFERROR(_xlfn.IFS(E70=Material.Biblioteca.Minergie[[#Headers],[Material.Biblioteca.Minergie]],VLOOKUP(F70,BIBLIOTECA.MINERGIE[#All],2,0),E70=Material.Biblioteca.Personal[[#Headers],[Material.Biblioteca.Personal]],VLOOKUP(F70,BIBLIOTECA.PERSONAL13[#All],2,0)),"-")</f>
        <v>-</v>
      </c>
      <c r="I70" s="381" t="str" cm="1">
        <f t="array" ref="I70">IFERROR(_xlfn.IFS(E70=Material.Biblioteca.Minergie[[#Headers],[Material.Biblioteca.Minergie]],VLOOKUP(F70,BIBLIOTECA.MINERGIE[#All],3,0),E70=Material.Biblioteca.Personal[[#Headers],[Material.Biblioteca.Personal]],VLOOKUP(F70,BIBLIOTECA.PERSONAL13[#All],3,0)),"-")</f>
        <v>-</v>
      </c>
      <c r="J70" s="360"/>
      <c r="K70" s="387">
        <f t="shared" si="2"/>
        <v>0</v>
      </c>
    </row>
    <row r="71" spans="3:18" ht="50.1" customHeight="1">
      <c r="C71" s="359"/>
      <c r="D71" s="320"/>
      <c r="E71" s="320"/>
      <c r="F71" s="321"/>
      <c r="G71" s="381" t="str" cm="1">
        <f t="array" ref="G71">IFERROR(_xlfn.IFS(E71=Material.Biblioteca.Minergie[[#Headers],[Material.Biblioteca.Minergie]],VLOOKUP(F71,BIBLIOTECA.MINERGIE[#All],4,0),E71=Material.Biblioteca.Personal[[#Headers],[Material.Biblioteca.Personal]],VLOOKUP(F71,BIBLIOTECA.PERSONAL13[#All],4,0)),"-")</f>
        <v>-</v>
      </c>
      <c r="H71" s="381" t="str" cm="1">
        <f t="array" ref="H71">IFERROR(_xlfn.IFS(E71=Material.Biblioteca.Minergie[[#Headers],[Material.Biblioteca.Minergie]],VLOOKUP(F71,BIBLIOTECA.MINERGIE[#All],2,0),E71=Material.Biblioteca.Personal[[#Headers],[Material.Biblioteca.Personal]],VLOOKUP(F71,BIBLIOTECA.PERSONAL13[#All],2,0)),"-")</f>
        <v>-</v>
      </c>
      <c r="I71" s="381" t="str" cm="1">
        <f t="array" ref="I71">IFERROR(_xlfn.IFS(E71=Material.Biblioteca.Minergie[[#Headers],[Material.Biblioteca.Minergie]],VLOOKUP(F71,BIBLIOTECA.MINERGIE[#All],3,0),E71=Material.Biblioteca.Personal[[#Headers],[Material.Biblioteca.Personal]],VLOOKUP(F71,BIBLIOTECA.PERSONAL13[#All],3,0)),"-")</f>
        <v>-</v>
      </c>
      <c r="J71" s="360"/>
      <c r="K71" s="387">
        <f t="shared" si="2"/>
        <v>0</v>
      </c>
    </row>
    <row r="72" spans="3:18" ht="50.1" customHeight="1">
      <c r="C72" s="359"/>
      <c r="D72" s="320"/>
      <c r="E72" s="320"/>
      <c r="F72" s="321"/>
      <c r="G72" s="381" t="str" cm="1">
        <f t="array" ref="G72">IFERROR(_xlfn.IFS(E72=Material.Biblioteca.Minergie[[#Headers],[Material.Biblioteca.Minergie]],VLOOKUP(F72,BIBLIOTECA.MINERGIE[#All],4,0),E72=Material.Biblioteca.Personal[[#Headers],[Material.Biblioteca.Personal]],VLOOKUP(F72,BIBLIOTECA.PERSONAL13[#All],4,0)),"-")</f>
        <v>-</v>
      </c>
      <c r="H72" s="381" t="str" cm="1">
        <f t="array" ref="H72">IFERROR(_xlfn.IFS(E72=Material.Biblioteca.Minergie[[#Headers],[Material.Biblioteca.Minergie]],VLOOKUP(F72,BIBLIOTECA.MINERGIE[#All],2,0),E72=Material.Biblioteca.Personal[[#Headers],[Material.Biblioteca.Personal]],VLOOKUP(F72,BIBLIOTECA.PERSONAL13[#All],2,0)),"-")</f>
        <v>-</v>
      </c>
      <c r="I72" s="381" t="str" cm="1">
        <f t="array" ref="I72">IFERROR(_xlfn.IFS(E72=Material.Biblioteca.Minergie[[#Headers],[Material.Biblioteca.Minergie]],VLOOKUP(F72,BIBLIOTECA.MINERGIE[#All],3,0),E72=Material.Biblioteca.Personal[[#Headers],[Material.Biblioteca.Personal]],VLOOKUP(F72,BIBLIOTECA.PERSONAL13[#All],3,0)),"-")</f>
        <v>-</v>
      </c>
      <c r="J72" s="360"/>
      <c r="K72" s="387">
        <f t="shared" si="2"/>
        <v>0</v>
      </c>
    </row>
    <row r="73" spans="3:18" ht="50.1" customHeight="1">
      <c r="C73" s="359"/>
      <c r="D73" s="320"/>
      <c r="E73" s="320"/>
      <c r="F73" s="321"/>
      <c r="G73" s="381" t="str" cm="1">
        <f t="array" ref="G73">IFERROR(_xlfn.IFS(E73=Material.Biblioteca.Minergie[[#Headers],[Material.Biblioteca.Minergie]],VLOOKUP(F73,BIBLIOTECA.MINERGIE[#All],4,0),E73=Material.Biblioteca.Personal[[#Headers],[Material.Biblioteca.Personal]],VLOOKUP(F73,BIBLIOTECA.PERSONAL13[#All],4,0)),"-")</f>
        <v>-</v>
      </c>
      <c r="H73" s="381" t="str" cm="1">
        <f t="array" ref="H73">IFERROR(_xlfn.IFS(E73=Material.Biblioteca.Minergie[[#Headers],[Material.Biblioteca.Minergie]],VLOOKUP(F73,BIBLIOTECA.MINERGIE[#All],2,0),E73=Material.Biblioteca.Personal[[#Headers],[Material.Biblioteca.Personal]],VLOOKUP(F73,BIBLIOTECA.PERSONAL13[#All],2,0)),"-")</f>
        <v>-</v>
      </c>
      <c r="I73" s="381" t="str" cm="1">
        <f t="array" ref="I73">IFERROR(_xlfn.IFS(E73=Material.Biblioteca.Minergie[[#Headers],[Material.Biblioteca.Minergie]],VLOOKUP(F73,BIBLIOTECA.MINERGIE[#All],3,0),E73=Material.Biblioteca.Personal[[#Headers],[Material.Biblioteca.Personal]],VLOOKUP(F73,BIBLIOTECA.PERSONAL13[#All],3,0)),"-")</f>
        <v>-</v>
      </c>
      <c r="J73" s="360"/>
      <c r="K73" s="387">
        <f t="shared" si="2"/>
        <v>0</v>
      </c>
    </row>
    <row r="74" spans="3:18" ht="50.1" customHeight="1">
      <c r="C74" s="359"/>
      <c r="D74" s="320"/>
      <c r="E74" s="320"/>
      <c r="F74" s="321"/>
      <c r="G74" s="381" t="str" cm="1">
        <f t="array" ref="G74">IFERROR(_xlfn.IFS(E74=Material.Biblioteca.Minergie[[#Headers],[Material.Biblioteca.Minergie]],VLOOKUP(F74,BIBLIOTECA.MINERGIE[#All],4,0),E74=Material.Biblioteca.Personal[[#Headers],[Material.Biblioteca.Personal]],VLOOKUP(F74,BIBLIOTECA.PERSONAL13[#All],4,0)),"-")</f>
        <v>-</v>
      </c>
      <c r="H74" s="381" t="str" cm="1">
        <f t="array" ref="H74">IFERROR(_xlfn.IFS(E74=Material.Biblioteca.Minergie[[#Headers],[Material.Biblioteca.Minergie]],VLOOKUP(F74,BIBLIOTECA.MINERGIE[#All],2,0),E74=Material.Biblioteca.Personal[[#Headers],[Material.Biblioteca.Personal]],VLOOKUP(F74,BIBLIOTECA.PERSONAL13[#All],2,0)),"-")</f>
        <v>-</v>
      </c>
      <c r="I74" s="381" t="str" cm="1">
        <f t="array" ref="I74">IFERROR(_xlfn.IFS(E74=Material.Biblioteca.Minergie[[#Headers],[Material.Biblioteca.Minergie]],VLOOKUP(F74,BIBLIOTECA.MINERGIE[#All],3,0),E74=Material.Biblioteca.Personal[[#Headers],[Material.Biblioteca.Personal]],VLOOKUP(F74,BIBLIOTECA.PERSONAL13[#All],3,0)),"-")</f>
        <v>-</v>
      </c>
      <c r="J74" s="360"/>
      <c r="K74" s="387">
        <f t="shared" si="2"/>
        <v>0</v>
      </c>
    </row>
    <row r="75" spans="3:18" ht="50.1" customHeight="1">
      <c r="C75" s="359"/>
      <c r="D75" s="320"/>
      <c r="E75" s="320"/>
      <c r="F75" s="321"/>
      <c r="G75" s="381" t="str" cm="1">
        <f t="array" ref="G75">IFERROR(_xlfn.IFS(E75=Material.Biblioteca.Minergie[[#Headers],[Material.Biblioteca.Minergie]],VLOOKUP(F75,BIBLIOTECA.MINERGIE[#All],4,0),E75=Material.Biblioteca.Personal[[#Headers],[Material.Biblioteca.Personal]],VLOOKUP(F75,BIBLIOTECA.PERSONAL13[#All],4,0)),"-")</f>
        <v>-</v>
      </c>
      <c r="H75" s="381" t="str" cm="1">
        <f t="array" ref="H75">IFERROR(_xlfn.IFS(E75=Material.Biblioteca.Minergie[[#Headers],[Material.Biblioteca.Minergie]],VLOOKUP(F75,BIBLIOTECA.MINERGIE[#All],2,0),E75=Material.Biblioteca.Personal[[#Headers],[Material.Biblioteca.Personal]],VLOOKUP(F75,BIBLIOTECA.PERSONAL13[#All],2,0)),"-")</f>
        <v>-</v>
      </c>
      <c r="I75" s="381" t="str" cm="1">
        <f t="array" ref="I75">IFERROR(_xlfn.IFS(E75=Material.Biblioteca.Minergie[[#Headers],[Material.Biblioteca.Minergie]],VLOOKUP(F75,BIBLIOTECA.MINERGIE[#All],3,0),E75=Material.Biblioteca.Personal[[#Headers],[Material.Biblioteca.Personal]],VLOOKUP(F75,BIBLIOTECA.PERSONAL13[#All],3,0)),"-")</f>
        <v>-</v>
      </c>
      <c r="J75" s="360"/>
      <c r="K75" s="387">
        <f t="shared" si="2"/>
        <v>0</v>
      </c>
    </row>
    <row r="76" spans="3:18" ht="50.1" customHeight="1">
      <c r="C76" s="359"/>
      <c r="D76" s="320"/>
      <c r="E76" s="320"/>
      <c r="F76" s="321"/>
      <c r="G76" s="381" t="str" cm="1">
        <f t="array" ref="G76">IFERROR(_xlfn.IFS(E76=Material.Biblioteca.Minergie[[#Headers],[Material.Biblioteca.Minergie]],VLOOKUP(F76,BIBLIOTECA.MINERGIE[#All],4,0),E76=Material.Biblioteca.Personal[[#Headers],[Material.Biblioteca.Personal]],VLOOKUP(F76,BIBLIOTECA.PERSONAL13[#All],4,0)),"-")</f>
        <v>-</v>
      </c>
      <c r="H76" s="381" t="str" cm="1">
        <f t="array" ref="H76">IFERROR(_xlfn.IFS(E76=Material.Biblioteca.Minergie[[#Headers],[Material.Biblioteca.Minergie]],VLOOKUP(F76,BIBLIOTECA.MINERGIE[#All],2,0),E76=Material.Biblioteca.Personal[[#Headers],[Material.Biblioteca.Personal]],VLOOKUP(F76,BIBLIOTECA.PERSONAL13[#All],2,0)),"-")</f>
        <v>-</v>
      </c>
      <c r="I76" s="381" t="str" cm="1">
        <f t="array" ref="I76">IFERROR(_xlfn.IFS(E76=Material.Biblioteca.Minergie[[#Headers],[Material.Biblioteca.Minergie]],VLOOKUP(F76,BIBLIOTECA.MINERGIE[#All],3,0),E76=Material.Biblioteca.Personal[[#Headers],[Material.Biblioteca.Personal]],VLOOKUP(F76,BIBLIOTECA.PERSONAL13[#All],3,0)),"-")</f>
        <v>-</v>
      </c>
      <c r="J76" s="360"/>
      <c r="K76" s="387">
        <f t="shared" si="1"/>
        <v>0</v>
      </c>
    </row>
    <row r="77" spans="3:18" ht="13.5" thickBot="1">
      <c r="C77" s="610"/>
      <c r="D77" s="342"/>
      <c r="E77" s="333"/>
      <c r="F77" s="333"/>
      <c r="G77" s="333"/>
      <c r="H77" s="335"/>
      <c r="I77" s="335"/>
      <c r="J77" s="333"/>
      <c r="K77" s="388">
        <f>SUM(K40:K76)</f>
        <v>0</v>
      </c>
    </row>
    <row r="78" spans="3:18" ht="24.6" customHeight="1" thickBot="1">
      <c r="C78" s="1462" t="s">
        <v>547</v>
      </c>
      <c r="D78" s="1463"/>
      <c r="E78" s="1463"/>
      <c r="F78" s="1463"/>
      <c r="G78" s="1463"/>
      <c r="H78" s="1463"/>
      <c r="I78" s="1463"/>
      <c r="J78" s="611"/>
      <c r="K78" s="387">
        <f>IFERROR(K77/D4,0)</f>
        <v>0</v>
      </c>
    </row>
    <row r="79" spans="3:18" ht="21.6" customHeight="1" thickBot="1">
      <c r="C79" s="1437" t="s">
        <v>548</v>
      </c>
      <c r="D79" s="1438"/>
      <c r="E79" s="1438"/>
      <c r="F79" s="1438"/>
      <c r="G79" s="1438"/>
      <c r="H79" s="1438"/>
      <c r="I79" s="1438"/>
      <c r="J79" s="611"/>
      <c r="K79" s="387">
        <f>IFERROR((K77/D4)/D5,0)</f>
        <v>0</v>
      </c>
    </row>
    <row r="81" spans="3:5">
      <c r="C81" s="597" t="s">
        <v>549</v>
      </c>
      <c r="D81" s="598" t="s">
        <v>550</v>
      </c>
      <c r="E81" s="24"/>
    </row>
    <row r="82" spans="3:5">
      <c r="C82" s="599" t="s">
        <v>526</v>
      </c>
      <c r="D82" s="600">
        <f>IFERROR(D87/D89,0)</f>
        <v>0</v>
      </c>
      <c r="E82" s="601"/>
    </row>
    <row r="83" spans="3:5">
      <c r="C83" s="602" t="s">
        <v>551</v>
      </c>
      <c r="D83" s="603">
        <f>IFERROR(D88/D89,0)</f>
        <v>0</v>
      </c>
      <c r="E83" s="604"/>
    </row>
    <row r="84" spans="3:5">
      <c r="C84" s="605" t="s">
        <v>552</v>
      </c>
      <c r="D84" s="606">
        <f>SUM(D82:D83)</f>
        <v>0</v>
      </c>
      <c r="E84" s="607"/>
    </row>
    <row r="85" spans="3:5">
      <c r="C85" s="14"/>
      <c r="D85" s="14"/>
      <c r="E85"/>
    </row>
    <row r="86" spans="3:5">
      <c r="C86" s="597" t="s">
        <v>549</v>
      </c>
      <c r="D86" s="598" t="s">
        <v>553</v>
      </c>
      <c r="E86" s="24"/>
    </row>
    <row r="87" spans="3:5">
      <c r="C87" s="605" t="s">
        <v>526</v>
      </c>
      <c r="D87" s="363">
        <f>G35</f>
        <v>0</v>
      </c>
      <c r="E87" s="364"/>
    </row>
    <row r="88" spans="3:5">
      <c r="C88" s="608" t="s">
        <v>551</v>
      </c>
      <c r="D88" s="365">
        <f>K79</f>
        <v>0</v>
      </c>
      <c r="E88" s="364"/>
    </row>
    <row r="89" spans="3:5">
      <c r="C89" s="605" t="s">
        <v>552</v>
      </c>
      <c r="D89" s="609">
        <f>SUM(D87:D88)</f>
        <v>0</v>
      </c>
      <c r="E89" s="366"/>
    </row>
    <row r="91" spans="3:5">
      <c r="C91" s="1059" t="s">
        <v>554</v>
      </c>
      <c r="D91" s="1059"/>
      <c r="E91" s="590"/>
    </row>
    <row r="92" spans="3:5">
      <c r="C92" s="1059"/>
      <c r="D92" s="1059"/>
      <c r="E92" s="590"/>
    </row>
    <row r="93" spans="3:5">
      <c r="C93" s="1059"/>
      <c r="D93" s="1059"/>
      <c r="E93" s="590"/>
    </row>
    <row r="94" spans="3:5">
      <c r="C94" s="1059"/>
      <c r="D94" s="1059"/>
      <c r="E94" s="590"/>
    </row>
    <row r="95" spans="3:5">
      <c r="C95" s="1059"/>
      <c r="D95" s="1059"/>
      <c r="E95" s="590"/>
    </row>
    <row r="96" spans="3:5">
      <c r="C96" s="1059"/>
      <c r="D96" s="1059"/>
      <c r="E96" s="590"/>
    </row>
    <row r="106" spans="3:13" ht="24.6" customHeight="1" thickBot="1">
      <c r="C106" s="569" t="s">
        <v>555</v>
      </c>
      <c r="D106" s="342"/>
      <c r="E106" s="333"/>
      <c r="F106" s="333"/>
      <c r="G106" s="333"/>
      <c r="H106" s="612">
        <f ca="1">TODAY()</f>
        <v>45698</v>
      </c>
      <c r="K106" s="573" t="s">
        <v>556</v>
      </c>
      <c r="L106" s="342"/>
      <c r="M106" s="333"/>
    </row>
    <row r="107" spans="3:13">
      <c r="C107" s="570" t="s">
        <v>557</v>
      </c>
      <c r="D107" s="570" t="s">
        <v>540</v>
      </c>
      <c r="E107" s="571" t="s">
        <v>558</v>
      </c>
      <c r="F107" s="571" t="s">
        <v>539</v>
      </c>
      <c r="G107" s="571" t="s">
        <v>559</v>
      </c>
      <c r="H107" s="572" t="s">
        <v>560</v>
      </c>
      <c r="K107" s="574" t="s">
        <v>561</v>
      </c>
      <c r="L107" s="574" t="s">
        <v>562</v>
      </c>
      <c r="M107" s="575" t="s">
        <v>464</v>
      </c>
    </row>
    <row r="108" spans="3:13">
      <c r="C108" s="353"/>
      <c r="D108" s="328"/>
      <c r="E108" s="367" t="s">
        <v>563</v>
      </c>
      <c r="F108" s="367"/>
      <c r="G108" s="368"/>
      <c r="H108" s="369">
        <f ca="1">BIBLIOTECA.PERSONAL13[[#This Row],[Fecha Caducidad]]-$H$106</f>
        <v>-45698</v>
      </c>
      <c r="K108" s="353"/>
      <c r="L108" s="328"/>
      <c r="M108" s="370"/>
    </row>
    <row r="109" spans="3:13">
      <c r="C109" s="353"/>
      <c r="D109" s="328"/>
      <c r="E109" s="367"/>
      <c r="F109" s="367"/>
      <c r="G109" s="370"/>
      <c r="H109" s="369">
        <f ca="1">BIBLIOTECA.PERSONAL13[[#This Row],[Fecha Caducidad]]-$H$106</f>
        <v>-45698</v>
      </c>
      <c r="K109" s="353"/>
      <c r="L109" s="371"/>
      <c r="M109" s="372"/>
    </row>
    <row r="110" spans="3:13">
      <c r="C110" s="353"/>
      <c r="D110" s="328"/>
      <c r="E110" s="367"/>
      <c r="F110" s="367"/>
      <c r="G110" s="370"/>
      <c r="H110" s="369">
        <f ca="1">BIBLIOTECA.PERSONAL13[[#This Row],[Fecha Caducidad]]-$H$106</f>
        <v>-45698</v>
      </c>
      <c r="K110" s="353"/>
      <c r="L110" s="328"/>
      <c r="M110" s="370"/>
    </row>
    <row r="111" spans="3:13">
      <c r="C111" s="353"/>
      <c r="D111" s="328"/>
      <c r="E111" s="367"/>
      <c r="F111" s="367"/>
      <c r="G111" s="370"/>
      <c r="H111" s="369">
        <f ca="1">BIBLIOTECA.PERSONAL13[[#This Row],[Fecha Caducidad]]-$H$106</f>
        <v>-45698</v>
      </c>
      <c r="K111" s="353"/>
      <c r="L111" s="328"/>
      <c r="M111" s="370"/>
    </row>
    <row r="112" spans="3:13">
      <c r="C112" s="353"/>
      <c r="D112" s="371"/>
      <c r="E112" s="374"/>
      <c r="F112" s="374"/>
      <c r="G112" s="372"/>
      <c r="H112" s="369">
        <f ca="1">BIBLIOTECA.PERSONAL13[[#This Row],[Fecha Caducidad]]-$H$106</f>
        <v>-45698</v>
      </c>
      <c r="K112" s="353"/>
      <c r="L112" s="328"/>
      <c r="M112" s="370"/>
    </row>
    <row r="113" spans="3:13">
      <c r="C113" s="353"/>
      <c r="D113" s="371"/>
      <c r="E113" s="374"/>
      <c r="F113" s="374"/>
      <c r="G113" s="372"/>
      <c r="H113" s="369">
        <f ca="1">BIBLIOTECA.PERSONAL13[[#This Row],[Fecha Caducidad]]-$H$106</f>
        <v>-45698</v>
      </c>
      <c r="K113" s="353"/>
      <c r="L113" s="328"/>
      <c r="M113" s="370"/>
    </row>
    <row r="114" spans="3:13">
      <c r="C114" s="353"/>
      <c r="D114" s="371"/>
      <c r="E114" s="374"/>
      <c r="F114" s="374"/>
      <c r="G114" s="372"/>
      <c r="H114" s="369">
        <f ca="1">BIBLIOTECA.PERSONAL13[[#This Row],[Fecha Caducidad]]-$H$106</f>
        <v>-45698</v>
      </c>
      <c r="K114" s="373"/>
      <c r="L114" s="371"/>
      <c r="M114" s="372"/>
    </row>
    <row r="115" spans="3:13">
      <c r="C115" s="353"/>
      <c r="D115" s="328"/>
      <c r="E115" s="367"/>
      <c r="F115" s="367"/>
      <c r="G115" s="372"/>
      <c r="H115" s="369">
        <f ca="1">BIBLIOTECA.PERSONAL13[[#This Row],[Fecha Caducidad]]-$H$106</f>
        <v>-45698</v>
      </c>
      <c r="K115" s="373"/>
      <c r="L115" s="371"/>
      <c r="M115" s="372"/>
    </row>
    <row r="116" spans="3:13">
      <c r="C116" s="353"/>
      <c r="D116" s="328"/>
      <c r="E116" s="367"/>
      <c r="F116" s="367"/>
      <c r="G116" s="390"/>
      <c r="H116" s="369">
        <f ca="1">BIBLIOTECA.PERSONAL13[[#This Row],[Fecha Caducidad]]-$H$106</f>
        <v>-45698</v>
      </c>
    </row>
    <row r="117" spans="3:13">
      <c r="C117" s="353"/>
      <c r="D117" s="328"/>
      <c r="E117" s="367"/>
      <c r="F117" s="367"/>
      <c r="G117" s="390"/>
      <c r="H117" s="369">
        <f ca="1">BIBLIOTECA.PERSONAL13[[#This Row],[Fecha Caducidad]]-$H$106</f>
        <v>-45698</v>
      </c>
    </row>
    <row r="118" spans="3:13">
      <c r="C118" s="353"/>
      <c r="D118" s="328"/>
      <c r="E118" s="367"/>
      <c r="F118" s="367"/>
      <c r="G118" s="390"/>
      <c r="H118" s="369">
        <f ca="1">BIBLIOTECA.PERSONAL13[[#This Row],[Fecha Caducidad]]-$H$106</f>
        <v>-45698</v>
      </c>
    </row>
    <row r="119" spans="3:13">
      <c r="C119" s="353"/>
      <c r="D119" s="328"/>
      <c r="E119" s="367"/>
      <c r="F119" s="367"/>
      <c r="G119" s="390"/>
      <c r="H119" s="369">
        <f ca="1">BIBLIOTECA.PERSONAL13[[#This Row],[Fecha Caducidad]]-$H$106</f>
        <v>-45698</v>
      </c>
    </row>
    <row r="120" spans="3:13">
      <c r="C120" s="353"/>
      <c r="D120" s="328"/>
      <c r="E120" s="367"/>
      <c r="F120" s="367"/>
      <c r="G120" s="390"/>
      <c r="H120" s="369">
        <f ca="1">BIBLIOTECA.PERSONAL13[[#This Row],[Fecha Caducidad]]-$H$106</f>
        <v>-45698</v>
      </c>
    </row>
    <row r="121" spans="3:13">
      <c r="C121" s="353"/>
      <c r="D121" s="328"/>
      <c r="E121" s="367"/>
      <c r="F121" s="367"/>
      <c r="G121" s="390"/>
      <c r="H121" s="369">
        <f ca="1">BIBLIOTECA.PERSONAL13[[#This Row],[Fecha Caducidad]]-$H$106</f>
        <v>-45698</v>
      </c>
    </row>
    <row r="122" spans="3:13">
      <c r="C122" s="353"/>
      <c r="D122" s="328"/>
      <c r="E122" s="367"/>
      <c r="F122" s="367"/>
      <c r="G122" s="390"/>
      <c r="H122" s="369">
        <f ca="1">BIBLIOTECA.PERSONAL13[[#This Row],[Fecha Caducidad]]-$H$106</f>
        <v>-45698</v>
      </c>
    </row>
    <row r="123" spans="3:13">
      <c r="C123" s="353"/>
      <c r="D123" s="328"/>
      <c r="E123" s="367"/>
      <c r="F123" s="367"/>
      <c r="G123" s="390"/>
      <c r="H123" s="369">
        <f ca="1">BIBLIOTECA.PERSONAL13[[#This Row],[Fecha Caducidad]]-$H$106</f>
        <v>-45698</v>
      </c>
    </row>
    <row r="124" spans="3:13">
      <c r="C124" s="353"/>
      <c r="D124" s="328"/>
      <c r="E124" s="367"/>
      <c r="F124" s="367"/>
      <c r="G124" s="390"/>
      <c r="H124" s="369">
        <f ca="1">BIBLIOTECA.PERSONAL13[[#This Row],[Fecha Caducidad]]-$H$106</f>
        <v>-45698</v>
      </c>
    </row>
    <row r="125" spans="3:13">
      <c r="C125" s="353"/>
      <c r="D125" s="328"/>
      <c r="E125" s="367"/>
      <c r="F125" s="367"/>
      <c r="G125" s="390"/>
      <c r="H125" s="369">
        <f ca="1">BIBLIOTECA.PERSONAL13[[#This Row],[Fecha Caducidad]]-$H$106</f>
        <v>-45698</v>
      </c>
    </row>
    <row r="126" spans="3:13">
      <c r="C126" s="373"/>
      <c r="D126" s="371"/>
      <c r="E126" s="374"/>
      <c r="F126" s="374"/>
      <c r="G126" s="390"/>
      <c r="H126" s="369">
        <f ca="1">BIBLIOTECA.PERSONAL13[[#This Row],[Fecha Caducidad]]-$H$106</f>
        <v>-45698</v>
      </c>
    </row>
    <row r="127" spans="3:13">
      <c r="C127" s="353"/>
      <c r="D127" s="328"/>
      <c r="E127" s="367"/>
      <c r="F127" s="367"/>
      <c r="G127" s="372"/>
      <c r="H127" s="369">
        <f ca="1">BIBLIOTECA.PERSONAL13[[#This Row],[Fecha Caducidad]]-$H$106</f>
        <v>-45698</v>
      </c>
    </row>
    <row r="128" spans="3:13">
      <c r="C128" s="353"/>
      <c r="D128" s="328"/>
      <c r="E128" s="367"/>
      <c r="F128" s="367"/>
      <c r="G128" s="390"/>
      <c r="H128" s="369">
        <f ca="1">BIBLIOTECA.PERSONAL13[[#This Row],[Fecha Caducidad]]-$H$106</f>
        <v>-45698</v>
      </c>
    </row>
    <row r="129" spans="3:8">
      <c r="C129" s="353"/>
      <c r="D129" s="328"/>
      <c r="E129" s="367"/>
      <c r="F129" s="367"/>
      <c r="G129" s="390"/>
      <c r="H129" s="369">
        <f ca="1">BIBLIOTECA.PERSONAL13[[#This Row],[Fecha Caducidad]]-$H$106</f>
        <v>-45698</v>
      </c>
    </row>
    <row r="130" spans="3:8">
      <c r="C130" s="353"/>
      <c r="D130" s="328"/>
      <c r="E130" s="367"/>
      <c r="F130" s="367"/>
      <c r="G130" s="390"/>
      <c r="H130" s="369">
        <f ca="1">BIBLIOTECA.PERSONAL13[[#This Row],[Fecha Caducidad]]-$H$106</f>
        <v>-45698</v>
      </c>
    </row>
    <row r="131" spans="3:8">
      <c r="C131" s="353"/>
      <c r="D131" s="328"/>
      <c r="E131" s="367"/>
      <c r="F131" s="367"/>
      <c r="G131" s="390"/>
      <c r="H131" s="369">
        <f ca="1">BIBLIOTECA.PERSONAL13[[#This Row],[Fecha Caducidad]]-$H$106</f>
        <v>-45698</v>
      </c>
    </row>
    <row r="132" spans="3:8">
      <c r="C132" s="353"/>
      <c r="D132" s="328"/>
      <c r="E132" s="367"/>
      <c r="F132" s="367"/>
      <c r="G132" s="390"/>
      <c r="H132" s="369">
        <f ca="1">BIBLIOTECA.PERSONAL13[[#This Row],[Fecha Caducidad]]-$H$106</f>
        <v>-45698</v>
      </c>
    </row>
    <row r="133" spans="3:8">
      <c r="C133" s="353"/>
      <c r="D133" s="328"/>
      <c r="E133" s="367"/>
      <c r="F133" s="367"/>
      <c r="G133" s="390"/>
      <c r="H133" s="369">
        <f ca="1">BIBLIOTECA.PERSONAL13[[#This Row],[Fecha Caducidad]]-$H$106</f>
        <v>-45698</v>
      </c>
    </row>
    <row r="134" spans="3:8">
      <c r="C134" s="353"/>
      <c r="D134" s="328"/>
      <c r="E134" s="367"/>
      <c r="F134" s="367"/>
      <c r="G134" s="390"/>
      <c r="H134" s="369">
        <f ca="1">BIBLIOTECA.PERSONAL13[[#This Row],[Fecha Caducidad]]-$H$106</f>
        <v>-45698</v>
      </c>
    </row>
    <row r="135" spans="3:8">
      <c r="C135" s="353"/>
      <c r="D135" s="328"/>
      <c r="E135" s="367"/>
      <c r="F135" s="367"/>
      <c r="G135" s="390"/>
      <c r="H135" s="369">
        <f ca="1">BIBLIOTECA.PERSONAL13[[#This Row],[Fecha Caducidad]]-$H$106</f>
        <v>-45698</v>
      </c>
    </row>
    <row r="136" spans="3:8">
      <c r="C136" s="353"/>
      <c r="D136" s="328"/>
      <c r="E136" s="367"/>
      <c r="F136" s="367"/>
      <c r="G136" s="390"/>
      <c r="H136" s="369">
        <f ca="1">BIBLIOTECA.PERSONAL13[[#This Row],[Fecha Caducidad]]-$H$106</f>
        <v>-45698</v>
      </c>
    </row>
    <row r="137" spans="3:8">
      <c r="C137" s="353"/>
      <c r="D137" s="328"/>
      <c r="E137" s="367"/>
      <c r="F137" s="367"/>
      <c r="G137" s="390"/>
      <c r="H137" s="369">
        <f ca="1">BIBLIOTECA.PERSONAL13[[#This Row],[Fecha Caducidad]]-$H$106</f>
        <v>-45698</v>
      </c>
    </row>
    <row r="138" spans="3:8">
      <c r="C138" s="353"/>
      <c r="D138" s="328"/>
      <c r="E138" s="367"/>
      <c r="F138" s="367"/>
      <c r="G138" s="390"/>
      <c r="H138" s="369">
        <f ca="1">BIBLIOTECA.PERSONAL13[[#This Row],[Fecha Caducidad]]-$H$106</f>
        <v>-45698</v>
      </c>
    </row>
    <row r="139" spans="3:8">
      <c r="C139" s="353"/>
      <c r="D139" s="328"/>
      <c r="E139" s="367"/>
      <c r="F139" s="367"/>
      <c r="G139" s="390"/>
      <c r="H139" s="369">
        <f ca="1">BIBLIOTECA.PERSONAL13[[#This Row],[Fecha Caducidad]]-$H$106</f>
        <v>-45698</v>
      </c>
    </row>
    <row r="140" spans="3:8">
      <c r="C140" s="353"/>
      <c r="D140" s="328"/>
      <c r="E140" s="367"/>
      <c r="F140" s="367"/>
      <c r="G140" s="390"/>
      <c r="H140" s="369">
        <f ca="1">BIBLIOTECA.PERSONAL13[[#This Row],[Fecha Caducidad]]-$H$106</f>
        <v>-45698</v>
      </c>
    </row>
    <row r="141" spans="3:8">
      <c r="C141" s="373"/>
      <c r="D141" s="371"/>
      <c r="E141" s="374"/>
      <c r="F141" s="374"/>
      <c r="G141" s="390"/>
      <c r="H141" s="369">
        <f ca="1">BIBLIOTECA.PERSONAL13[[#This Row],[Fecha Caducidad]]-$H$106</f>
        <v>-45698</v>
      </c>
    </row>
  </sheetData>
  <sheetProtection algorithmName="SHA-512" hashValue="X/1p9FL/j4fDCuRXb3pEUa11ge/espGu6buwICE59pfFWO8azisz5uXwtB4CJ92C27xMGE8ourUc60mK2SVuKA==" saltValue="JjijFIK0ZczQVQmGo6y7qQ==" spinCount="100000" sheet="1" formatCells="0" formatColumns="0"/>
  <dataConsolidate/>
  <mergeCells count="31">
    <mergeCell ref="C79:I79"/>
    <mergeCell ref="C91:D96"/>
    <mergeCell ref="N24:R24"/>
    <mergeCell ref="D23:F23"/>
    <mergeCell ref="N27:R34"/>
    <mergeCell ref="C35:F35"/>
    <mergeCell ref="N35:R35"/>
    <mergeCell ref="N40:R47"/>
    <mergeCell ref="N48:R51"/>
    <mergeCell ref="N52:R55"/>
    <mergeCell ref="C78:I78"/>
    <mergeCell ref="I28:J35"/>
    <mergeCell ref="K30:K31"/>
    <mergeCell ref="B37:D37"/>
    <mergeCell ref="B27:B35"/>
    <mergeCell ref="I9:M9"/>
    <mergeCell ref="I10:M12"/>
    <mergeCell ref="B24:B25"/>
    <mergeCell ref="N25:R25"/>
    <mergeCell ref="J16:M16"/>
    <mergeCell ref="J17:M18"/>
    <mergeCell ref="G20:H20"/>
    <mergeCell ref="F17:F19"/>
    <mergeCell ref="G18:H18"/>
    <mergeCell ref="G19:H19"/>
    <mergeCell ref="G17:H17"/>
    <mergeCell ref="F9:G9"/>
    <mergeCell ref="F10:G10"/>
    <mergeCell ref="F11:G11"/>
    <mergeCell ref="F12:G12"/>
    <mergeCell ref="G16:H16"/>
  </mergeCells>
  <phoneticPr fontId="17" type="noConversion"/>
  <conditionalFormatting sqref="F17">
    <cfRule type="containsText" dxfId="285" priority="1" operator="containsText" text="No cumple">
      <formula>NOT(ISERROR(SEARCH("No cumple",F17)))</formula>
    </cfRule>
    <cfRule type="containsText" dxfId="284" priority="2" operator="containsText" text="Cumple">
      <formula>NOT(ISERROR(SEARCH("Cumple",F17)))</formula>
    </cfRule>
  </conditionalFormatting>
  <dataValidations count="4">
    <dataValidation type="list" allowBlank="1" showInputMessage="1" showErrorMessage="1" sqref="E40:E76" xr:uid="{A6175A27-86BF-48E5-851A-2B3D50E0C047}">
      <formula1>"Material.Biblioteca.Minergie,Material.Biblioteca.Personal"</formula1>
    </dataValidation>
    <dataValidation type="list" allowBlank="1" showInputMessage="1" showErrorMessage="1" sqref="E30:E34" xr:uid="{92D7583E-359C-49E7-8BF7-1B9DD49F4267}">
      <formula1>INDIRECT($D$27)</formula1>
    </dataValidation>
    <dataValidation type="list" allowBlank="1" showInputMessage="1" showErrorMessage="1" sqref="F40" xr:uid="{A58D3E60-DECA-4DC9-98E9-6AF35AAA10D2}">
      <formula1>INDIRECT($E$40)</formula1>
    </dataValidation>
    <dataValidation type="list" allowBlank="1" showInputMessage="1" showErrorMessage="1" sqref="F41:F76" xr:uid="{5E84C841-4511-4D31-A835-C0AF5AC22390}">
      <formula1>INDIRECT($E41)</formula1>
    </dataValidation>
  </dataValidations>
  <hyperlinks>
    <hyperlink ref="N48:R51" location="'E1'!C84" display="Ir  a Biblioteca Personal DAP" xr:uid="{6DF0DCAF-9B31-496B-8D03-BD9DB51CB499}"/>
    <hyperlink ref="N35" location="'A7'!J87" display="Tabla Energético Personal" xr:uid="{259F08C7-2630-497C-84C5-1AEAFA93858F}"/>
    <hyperlink ref="K28" r:id="rId1" xr:uid="{EA365135-C183-4D39-9BA4-283B735F5917}"/>
    <hyperlink ref="K29" r:id="rId2" xr:uid="{8FAADBEE-19B7-4BF1-9A30-D5316FD37A8D}"/>
  </hyperlinks>
  <pageMargins left="0.7" right="0.7" top="0.98624999999999996" bottom="0.75" header="0.3" footer="0.3"/>
  <pageSetup paperSize="9" scale="56" orientation="landscape" r:id="rId3"/>
  <headerFooter>
    <oddHeader>&amp;L&amp;G</oddHeader>
    <oddFooter>&amp;L&amp;D&amp;R&amp;A</oddFooter>
  </headerFooter>
  <colBreaks count="1" manualBreakCount="1">
    <brk id="10" max="1048575" man="1"/>
  </colBreaks>
  <legacyDrawingHF r:id="rId4"/>
  <tableParts count="2">
    <tablePart r:id="rId5"/>
    <tablePart r:id="rId6"/>
  </tableParts>
  <extLst>
    <ext xmlns:x14="http://schemas.microsoft.com/office/spreadsheetml/2009/9/main" uri="{CCE6A557-97BC-4b89-ADB6-D9C93CAAB3DF}">
      <x14:dataValidations xmlns:xm="http://schemas.microsoft.com/office/excel/2006/main" count="3">
        <x14:dataValidation type="list" allowBlank="1" showInputMessage="1" showErrorMessage="1" xr:uid="{8B26EB7E-2953-4558-B8E8-40EB125B5FEE}">
          <x14:formula1>
            <xm:f>Datos_A7!$B$41:$C$41</xm:f>
          </x14:formula1>
          <xm:sqref>D27</xm:sqref>
        </x14:dataValidation>
        <x14:dataValidation type="list" allowBlank="1" showInputMessage="1" showErrorMessage="1" xr:uid="{E10C5DC5-EA84-491A-8373-86A06556B87E}">
          <x14:formula1>
            <xm:f>Datos_A7!$A$69:$A$71</xm:f>
          </x14:formula1>
          <xm:sqref>C40:C76</xm:sqref>
        </x14:dataValidation>
        <x14:dataValidation type="list" allowBlank="1" showInputMessage="1" showErrorMessage="1" xr:uid="{A7C5E09A-5394-4E99-BAD3-458B5D180E63}">
          <x14:formula1>
            <xm:f>Datos_A7!$B$69:$B$79</xm:f>
          </x14:formula1>
          <xm:sqref>D40:D76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B82FE-904E-4EF1-B0AC-F37B71AE4D8B}">
  <dimension ref="A1:L31"/>
  <sheetViews>
    <sheetView showGridLines="0" zoomScaleNormal="100" zoomScalePageLayoutView="80" workbookViewId="0">
      <selection activeCell="C18" sqref="C18"/>
    </sheetView>
  </sheetViews>
  <sheetFormatPr defaultColWidth="8.7109375" defaultRowHeight="12.75"/>
  <cols>
    <col min="1" max="1" width="5.28515625" customWidth="1"/>
    <col min="2" max="2" width="23.7109375" customWidth="1"/>
    <col min="3" max="3" width="15.7109375" customWidth="1"/>
    <col min="4" max="4" width="18.28515625" customWidth="1"/>
    <col min="5" max="5" width="16.42578125" customWidth="1"/>
    <col min="6" max="6" width="5.28515625" customWidth="1"/>
  </cols>
  <sheetData>
    <row r="1" spans="1:12" s="117" customFormat="1" ht="26.85" customHeight="1">
      <c r="A1" s="115" t="s">
        <v>564</v>
      </c>
      <c r="B1" s="116" t="s">
        <v>565</v>
      </c>
      <c r="C1" s="116"/>
      <c r="D1" s="116"/>
      <c r="E1" s="116" t="s">
        <v>4</v>
      </c>
      <c r="F1" s="116"/>
      <c r="G1" s="116"/>
      <c r="I1" s="116" t="s">
        <v>5</v>
      </c>
      <c r="J1" s="116"/>
    </row>
    <row r="2" spans="1:12" ht="13.5" thickBot="1"/>
    <row r="3" spans="1:12" ht="51.75" thickBot="1">
      <c r="B3" s="47" t="s">
        <v>17</v>
      </c>
      <c r="C3" s="58" t="s">
        <v>566</v>
      </c>
      <c r="D3" s="58" t="s">
        <v>567</v>
      </c>
      <c r="E3" s="59" t="s">
        <v>568</v>
      </c>
    </row>
    <row r="4" spans="1:12" ht="13.35" customHeight="1" thickBot="1">
      <c r="B4" s="82" t="s">
        <v>569</v>
      </c>
      <c r="C4" s="270">
        <f>SUM(C5:C8)</f>
        <v>0</v>
      </c>
      <c r="D4" s="300">
        <f>SUM(D5:D8)</f>
        <v>0</v>
      </c>
      <c r="E4" s="297" t="str">
        <f>IFERROR(D4/C4," ")</f>
        <v xml:space="preserve"> </v>
      </c>
      <c r="G4" s="1476" t="s">
        <v>570</v>
      </c>
      <c r="H4" s="1476"/>
      <c r="I4" s="1476"/>
      <c r="J4" s="1476"/>
      <c r="K4" s="1476"/>
      <c r="L4" s="1476"/>
    </row>
    <row r="5" spans="1:12">
      <c r="B5" s="809"/>
      <c r="C5" s="810"/>
      <c r="D5" s="811"/>
      <c r="E5" s="812" t="str">
        <f>IFERROR(D5/C5," ")</f>
        <v xml:space="preserve"> </v>
      </c>
      <c r="G5" s="1476"/>
      <c r="H5" s="1476"/>
      <c r="I5" s="1476"/>
      <c r="J5" s="1476"/>
      <c r="K5" s="1476"/>
      <c r="L5" s="1476"/>
    </row>
    <row r="6" spans="1:12">
      <c r="B6" s="744"/>
      <c r="C6" s="813"/>
      <c r="D6" s="814"/>
      <c r="E6" s="815" t="str">
        <f t="shared" ref="E6:E8" si="0">IFERROR(D6/C6," ")</f>
        <v xml:space="preserve"> </v>
      </c>
      <c r="G6" s="1476"/>
      <c r="H6" s="1476"/>
      <c r="I6" s="1476"/>
      <c r="J6" s="1476"/>
      <c r="K6" s="1476"/>
      <c r="L6" s="1476"/>
    </row>
    <row r="7" spans="1:12">
      <c r="B7" s="744"/>
      <c r="C7" s="813"/>
      <c r="D7" s="814"/>
      <c r="E7" s="815" t="str">
        <f t="shared" si="0"/>
        <v xml:space="preserve"> </v>
      </c>
      <c r="G7" s="1476"/>
      <c r="H7" s="1476"/>
      <c r="I7" s="1476"/>
      <c r="J7" s="1476"/>
      <c r="K7" s="1476"/>
      <c r="L7" s="1476"/>
    </row>
    <row r="8" spans="1:12" ht="13.5" thickBot="1">
      <c r="B8" s="745"/>
      <c r="C8" s="816"/>
      <c r="D8" s="817"/>
      <c r="E8" s="818" t="str">
        <f t="shared" si="0"/>
        <v xml:space="preserve"> </v>
      </c>
      <c r="G8" s="1476"/>
      <c r="H8" s="1476"/>
      <c r="I8" s="1476"/>
      <c r="J8" s="1476"/>
      <c r="K8" s="1476"/>
      <c r="L8" s="1476"/>
    </row>
    <row r="9" spans="1:12" ht="13.5" thickBot="1">
      <c r="B9" s="93" t="s">
        <v>571</v>
      </c>
      <c r="C9" s="108">
        <f>SUM(C10:C12)</f>
        <v>0</v>
      </c>
      <c r="D9" s="108">
        <f>SUM(D10:D12)</f>
        <v>0</v>
      </c>
      <c r="E9" s="297" t="str">
        <f>IFERROR(D9/C9," ")</f>
        <v xml:space="preserve"> </v>
      </c>
      <c r="G9" s="1476"/>
      <c r="H9" s="1476"/>
      <c r="I9" s="1476"/>
      <c r="J9" s="1476"/>
      <c r="K9" s="1476"/>
      <c r="L9" s="1476"/>
    </row>
    <row r="10" spans="1:12">
      <c r="B10" s="809"/>
      <c r="C10" s="810"/>
      <c r="D10" s="811"/>
      <c r="E10" s="812" t="str">
        <f>IFERROR(D10/C10," ")</f>
        <v xml:space="preserve"> </v>
      </c>
      <c r="G10" s="1476"/>
      <c r="H10" s="1476"/>
      <c r="I10" s="1476"/>
      <c r="J10" s="1476"/>
      <c r="K10" s="1476"/>
      <c r="L10" s="1476"/>
    </row>
    <row r="11" spans="1:12">
      <c r="B11" s="744"/>
      <c r="C11" s="813"/>
      <c r="D11" s="814"/>
      <c r="E11" s="815" t="str">
        <f t="shared" ref="E11:E20" si="1">IFERROR(D11/C11," ")</f>
        <v xml:space="preserve"> </v>
      </c>
      <c r="G11" s="1476"/>
      <c r="H11" s="1476"/>
      <c r="I11" s="1476"/>
      <c r="J11" s="1476"/>
      <c r="K11" s="1476"/>
      <c r="L11" s="1476"/>
    </row>
    <row r="12" spans="1:12">
      <c r="B12" s="744"/>
      <c r="C12" s="813"/>
      <c r="D12" s="814"/>
      <c r="E12" s="815" t="str">
        <f t="shared" si="1"/>
        <v xml:space="preserve"> </v>
      </c>
      <c r="G12" s="1476"/>
      <c r="H12" s="1476"/>
      <c r="I12" s="1476"/>
      <c r="J12" s="1476"/>
      <c r="K12" s="1476"/>
      <c r="L12" s="1476"/>
    </row>
    <row r="13" spans="1:12" ht="13.5" thickBot="1">
      <c r="B13" s="93" t="s">
        <v>572</v>
      </c>
      <c r="C13" s="108">
        <f>SUM(C14:C16)</f>
        <v>0</v>
      </c>
      <c r="D13" s="108">
        <f>SUM(D14:D16)</f>
        <v>0</v>
      </c>
      <c r="E13" s="298" t="str">
        <f t="shared" si="1"/>
        <v xml:space="preserve"> </v>
      </c>
      <c r="G13" s="1476"/>
      <c r="H13" s="1476"/>
      <c r="I13" s="1476"/>
      <c r="J13" s="1476"/>
      <c r="K13" s="1476"/>
      <c r="L13" s="1476"/>
    </row>
    <row r="14" spans="1:12">
      <c r="B14" s="809"/>
      <c r="C14" s="810"/>
      <c r="D14" s="811"/>
      <c r="E14" s="812" t="str">
        <f t="shared" si="1"/>
        <v xml:space="preserve"> </v>
      </c>
      <c r="G14" s="1476"/>
      <c r="H14" s="1476"/>
      <c r="I14" s="1476"/>
      <c r="J14" s="1476"/>
      <c r="K14" s="1476"/>
      <c r="L14" s="1476"/>
    </row>
    <row r="15" spans="1:12">
      <c r="B15" s="744"/>
      <c r="C15" s="813"/>
      <c r="D15" s="814"/>
      <c r="E15" s="815" t="str">
        <f t="shared" si="1"/>
        <v xml:space="preserve"> </v>
      </c>
      <c r="G15" s="1476"/>
      <c r="H15" s="1476"/>
      <c r="I15" s="1476"/>
      <c r="J15" s="1476"/>
      <c r="K15" s="1476"/>
      <c r="L15" s="1476"/>
    </row>
    <row r="16" spans="1:12" ht="13.5" thickBot="1">
      <c r="B16" s="744"/>
      <c r="C16" s="813"/>
      <c r="D16" s="814"/>
      <c r="E16" s="815" t="str">
        <f t="shared" si="1"/>
        <v xml:space="preserve"> </v>
      </c>
      <c r="G16" s="1476"/>
      <c r="H16" s="1476"/>
      <c r="I16" s="1476"/>
      <c r="J16" s="1476"/>
      <c r="K16" s="1476"/>
      <c r="L16" s="1476"/>
    </row>
    <row r="17" spans="2:12" ht="26.25" thickBot="1">
      <c r="B17" s="93" t="s">
        <v>573</v>
      </c>
      <c r="C17" s="108">
        <f>SUM(C18:C20)</f>
        <v>0</v>
      </c>
      <c r="D17" s="108">
        <f>SUM(D18:D20)</f>
        <v>0</v>
      </c>
      <c r="E17" s="299" t="str">
        <f t="shared" si="1"/>
        <v xml:space="preserve"> </v>
      </c>
      <c r="G17" s="1476"/>
      <c r="H17" s="1476"/>
      <c r="I17" s="1476"/>
      <c r="J17" s="1476"/>
      <c r="K17" s="1476"/>
      <c r="L17" s="1476"/>
    </row>
    <row r="18" spans="2:12">
      <c r="B18" s="809"/>
      <c r="C18" s="810"/>
      <c r="D18" s="811"/>
      <c r="E18" s="812" t="str">
        <f t="shared" si="1"/>
        <v xml:space="preserve"> </v>
      </c>
    </row>
    <row r="19" spans="2:12">
      <c r="B19" s="744"/>
      <c r="C19" s="813"/>
      <c r="D19" s="814"/>
      <c r="E19" s="815" t="str">
        <f t="shared" si="1"/>
        <v xml:space="preserve"> </v>
      </c>
    </row>
    <row r="20" spans="2:12" ht="13.5" thickBot="1">
      <c r="B20" s="744"/>
      <c r="C20" s="813"/>
      <c r="D20" s="814"/>
      <c r="E20" s="815" t="str">
        <f t="shared" si="1"/>
        <v xml:space="preserve"> </v>
      </c>
    </row>
    <row r="21" spans="2:12" ht="27" customHeight="1" thickBot="1">
      <c r="B21" s="61" t="s">
        <v>574</v>
      </c>
      <c r="C21" s="62">
        <f>C4+C9+C13+C17</f>
        <v>0</v>
      </c>
      <c r="D21" s="62">
        <f>D4+D9+D13+D17</f>
        <v>0</v>
      </c>
      <c r="E21" s="63" t="str">
        <f>IFERROR(D21/C21," ")</f>
        <v xml:space="preserve"> </v>
      </c>
    </row>
    <row r="22" spans="2:12" ht="22.35" customHeight="1" thickBot="1">
      <c r="B22" s="1474" t="s">
        <v>575</v>
      </c>
      <c r="C22" s="1475"/>
      <c r="D22" s="1475"/>
      <c r="E22" s="109">
        <v>0.7</v>
      </c>
    </row>
    <row r="23" spans="2:12" ht="13.5" thickBot="1"/>
    <row r="24" spans="2:12" ht="39" thickBot="1">
      <c r="B24" s="47" t="s">
        <v>17</v>
      </c>
      <c r="C24" s="58" t="s">
        <v>576</v>
      </c>
      <c r="D24" s="58" t="s">
        <v>577</v>
      </c>
      <c r="E24" s="59" t="s">
        <v>568</v>
      </c>
      <c r="G24" s="1059" t="s">
        <v>578</v>
      </c>
      <c r="H24" s="1059"/>
      <c r="I24" s="1059"/>
      <c r="J24" s="1059"/>
      <c r="K24" s="1059"/>
      <c r="L24" s="1059"/>
    </row>
    <row r="25" spans="2:12" ht="13.5" thickBot="1">
      <c r="B25" s="82" t="s">
        <v>579</v>
      </c>
      <c r="C25" s="270">
        <f>SUM(C26:C29)</f>
        <v>0</v>
      </c>
      <c r="D25" s="300">
        <f>SUM(D26:D29)</f>
        <v>0</v>
      </c>
      <c r="E25" s="297" t="str">
        <f>IFERROR(D25/C25," ")</f>
        <v xml:space="preserve"> </v>
      </c>
    </row>
    <row r="26" spans="2:12">
      <c r="B26" s="809"/>
      <c r="C26" s="810"/>
      <c r="D26" s="811"/>
      <c r="E26" s="812" t="str">
        <f>IFERROR(D26/C26," ")</f>
        <v xml:space="preserve"> </v>
      </c>
    </row>
    <row r="27" spans="2:12">
      <c r="B27" s="744"/>
      <c r="C27" s="813"/>
      <c r="D27" s="814"/>
      <c r="E27" s="815" t="str">
        <f t="shared" ref="E27:E29" si="2">IFERROR(D27/C27," ")</f>
        <v xml:space="preserve"> </v>
      </c>
    </row>
    <row r="28" spans="2:12">
      <c r="B28" s="744"/>
      <c r="C28" s="813"/>
      <c r="D28" s="814"/>
      <c r="E28" s="815" t="str">
        <f t="shared" si="2"/>
        <v xml:space="preserve"> </v>
      </c>
    </row>
    <row r="29" spans="2:12" ht="13.5" thickBot="1">
      <c r="B29" s="745"/>
      <c r="C29" s="816"/>
      <c r="D29" s="817"/>
      <c r="E29" s="818" t="str">
        <f t="shared" si="2"/>
        <v xml:space="preserve"> </v>
      </c>
    </row>
    <row r="30" spans="2:12" ht="26.25" thickBot="1">
      <c r="B30" s="61" t="s">
        <v>580</v>
      </c>
      <c r="C30" s="62">
        <f>C25</f>
        <v>0</v>
      </c>
      <c r="D30" s="62">
        <f>D25</f>
        <v>0</v>
      </c>
      <c r="E30" s="63" t="str">
        <f>IFERROR(D30/C30," ")</f>
        <v xml:space="preserve"> </v>
      </c>
    </row>
    <row r="31" spans="2:12" ht="13.5" thickBot="1">
      <c r="B31" s="1474" t="s">
        <v>575</v>
      </c>
      <c r="C31" s="1475"/>
      <c r="D31" s="1475"/>
      <c r="E31" s="109">
        <v>0.7</v>
      </c>
    </row>
  </sheetData>
  <sheetProtection algorithmName="SHA-512" hashValue="+ZWO6nJHqE8tUt1TPPB2dYqbxJmQnCveq4GBFRdkdwy8n4CZxE6heS8XMClyiwbNAZb5r9OVuxmKRRpFLguVMQ==" saltValue="d5f5HJbVpuu+niZZrURdeg==" spinCount="100000" sheet="1" objects="1" scenarios="1"/>
  <mergeCells count="4">
    <mergeCell ref="B22:D22"/>
    <mergeCell ref="G4:L17"/>
    <mergeCell ref="G24:L24"/>
    <mergeCell ref="B31:D31"/>
  </mergeCells>
  <conditionalFormatting sqref="E21">
    <cfRule type="containsBlanks" dxfId="264" priority="5">
      <formula>LEN(TRIM(E21))=0</formula>
    </cfRule>
    <cfRule type="cellIs" dxfId="263" priority="6" operator="equal">
      <formula>$E$22</formula>
    </cfRule>
    <cfRule type="cellIs" dxfId="262" priority="7" operator="lessThan">
      <formula>$E$22</formula>
    </cfRule>
    <cfRule type="cellIs" dxfId="261" priority="8" operator="greaterThan">
      <formula>$E$22</formula>
    </cfRule>
  </conditionalFormatting>
  <conditionalFormatting sqref="E30">
    <cfRule type="containsBlanks" dxfId="260" priority="1">
      <formula>LEN(TRIM(E30))=0</formula>
    </cfRule>
    <cfRule type="cellIs" dxfId="259" priority="2" operator="equal">
      <formula>$E$22</formula>
    </cfRule>
    <cfRule type="cellIs" dxfId="258" priority="3" operator="lessThan">
      <formula>$E$22</formula>
    </cfRule>
    <cfRule type="cellIs" dxfId="257" priority="4" operator="greaterThan">
      <formula>$E$22</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EDC7A-AE38-4D38-91BE-5949138B439B}">
  <dimension ref="A1:N23"/>
  <sheetViews>
    <sheetView showGridLines="0" zoomScaleNormal="100" zoomScalePageLayoutView="80" workbookViewId="0">
      <selection activeCell="C18" sqref="C18"/>
    </sheetView>
  </sheetViews>
  <sheetFormatPr defaultColWidth="8.7109375" defaultRowHeight="12.75"/>
  <cols>
    <col min="1" max="1" width="5.28515625" customWidth="1"/>
    <col min="2" max="2" width="23.7109375" customWidth="1"/>
    <col min="3" max="3" width="11" customWidth="1"/>
    <col min="4" max="4" width="15.7109375" customWidth="1"/>
    <col min="5" max="5" width="18.28515625" customWidth="1"/>
    <col min="6" max="6" width="16.42578125" customWidth="1"/>
    <col min="7" max="7" width="20.28515625" customWidth="1"/>
    <col min="8" max="8" width="5.28515625" customWidth="1"/>
  </cols>
  <sheetData>
    <row r="1" spans="1:14" s="117" customFormat="1" ht="26.85" customHeight="1">
      <c r="A1" s="115" t="s">
        <v>581</v>
      </c>
      <c r="B1" s="116" t="s">
        <v>582</v>
      </c>
      <c r="C1" s="116"/>
      <c r="D1" s="116"/>
      <c r="E1" s="116"/>
      <c r="F1" s="116"/>
      <c r="G1" s="116" t="s">
        <v>4</v>
      </c>
      <c r="J1" s="116" t="s">
        <v>5</v>
      </c>
    </row>
    <row r="2" spans="1:14" ht="13.5" thickBot="1"/>
    <row r="3" spans="1:14" ht="39" thickBot="1">
      <c r="B3" s="48" t="s">
        <v>17</v>
      </c>
      <c r="C3" s="110" t="s">
        <v>583</v>
      </c>
      <c r="D3" s="151" t="s">
        <v>584</v>
      </c>
      <c r="E3" s="58" t="s">
        <v>585</v>
      </c>
      <c r="F3" s="58" t="s">
        <v>568</v>
      </c>
      <c r="G3" s="59" t="s">
        <v>586</v>
      </c>
    </row>
    <row r="4" spans="1:14" ht="26.1" customHeight="1" thickBot="1">
      <c r="B4" s="82" t="s">
        <v>587</v>
      </c>
      <c r="C4" s="270" t="s">
        <v>6</v>
      </c>
      <c r="D4" s="727">
        <f>SUM(D5:D8)</f>
        <v>0</v>
      </c>
      <c r="E4" s="727">
        <f>SUM(E5:E8)</f>
        <v>0</v>
      </c>
      <c r="F4" s="728" t="str">
        <f>IFERROR(E4/D4," ")</f>
        <v xml:space="preserve"> </v>
      </c>
      <c r="G4" s="270" t="s">
        <v>187</v>
      </c>
      <c r="I4" s="1476" t="s">
        <v>588</v>
      </c>
      <c r="J4" s="1476"/>
      <c r="K4" s="1476"/>
      <c r="L4" s="1476"/>
      <c r="M4" s="1476"/>
      <c r="N4" s="1476"/>
    </row>
    <row r="5" spans="1:14">
      <c r="B5" s="743"/>
      <c r="C5" s="819" t="s">
        <v>6</v>
      </c>
      <c r="D5" s="820"/>
      <c r="E5" s="790"/>
      <c r="F5" s="821" t="str">
        <f>IFERROR(E5/D5," ")</f>
        <v xml:space="preserve"> </v>
      </c>
      <c r="G5" s="822"/>
      <c r="I5" s="1476"/>
      <c r="J5" s="1476"/>
      <c r="K5" s="1476"/>
      <c r="L5" s="1476"/>
      <c r="M5" s="1476"/>
      <c r="N5" s="1476"/>
    </row>
    <row r="6" spans="1:14">
      <c r="B6" s="744"/>
      <c r="C6" s="823" t="s">
        <v>6</v>
      </c>
      <c r="D6" s="824"/>
      <c r="E6" s="788"/>
      <c r="F6" s="825" t="str">
        <f t="shared" ref="F6:F21" si="0">IFERROR(E6/D6," ")</f>
        <v xml:space="preserve"> </v>
      </c>
      <c r="G6" s="826"/>
      <c r="I6" s="1476"/>
      <c r="J6" s="1476"/>
      <c r="K6" s="1476"/>
      <c r="L6" s="1476"/>
      <c r="M6" s="1476"/>
      <c r="N6" s="1476"/>
    </row>
    <row r="7" spans="1:14">
      <c r="B7" s="744"/>
      <c r="C7" s="823" t="s">
        <v>6</v>
      </c>
      <c r="D7" s="824"/>
      <c r="E7" s="788"/>
      <c r="F7" s="825" t="str">
        <f t="shared" si="0"/>
        <v xml:space="preserve"> </v>
      </c>
      <c r="G7" s="826"/>
      <c r="I7" s="1476"/>
      <c r="J7" s="1476"/>
      <c r="K7" s="1476"/>
      <c r="L7" s="1476"/>
      <c r="M7" s="1476"/>
      <c r="N7" s="1476"/>
    </row>
    <row r="8" spans="1:14" ht="13.5" thickBot="1">
      <c r="B8" s="745"/>
      <c r="C8" s="827" t="s">
        <v>6</v>
      </c>
      <c r="D8" s="828"/>
      <c r="E8" s="789"/>
      <c r="F8" s="829" t="str">
        <f t="shared" si="0"/>
        <v xml:space="preserve"> </v>
      </c>
      <c r="G8" s="830"/>
      <c r="I8" s="1476"/>
      <c r="J8" s="1476"/>
      <c r="K8" s="1476"/>
      <c r="L8" s="1476"/>
      <c r="M8" s="1476"/>
      <c r="N8" s="1476"/>
    </row>
    <row r="9" spans="1:14" ht="13.5" thickBot="1">
      <c r="B9" s="82" t="s">
        <v>589</v>
      </c>
      <c r="C9" s="270" t="s">
        <v>590</v>
      </c>
      <c r="D9" s="270">
        <f>SUM(D10:D17)</f>
        <v>0</v>
      </c>
      <c r="E9" s="270">
        <f>SUM(E10:E17)</f>
        <v>0</v>
      </c>
      <c r="F9" s="301" t="str">
        <f t="shared" si="0"/>
        <v xml:space="preserve"> </v>
      </c>
      <c r="G9" s="270" t="s">
        <v>187</v>
      </c>
      <c r="I9" s="1476"/>
      <c r="J9" s="1476"/>
      <c r="K9" s="1476"/>
      <c r="L9" s="1476"/>
      <c r="M9" s="1476"/>
      <c r="N9" s="1476"/>
    </row>
    <row r="10" spans="1:14">
      <c r="B10" s="743"/>
      <c r="C10" s="819" t="s">
        <v>591</v>
      </c>
      <c r="D10" s="820"/>
      <c r="E10" s="790"/>
      <c r="F10" s="821" t="str">
        <f t="shared" si="0"/>
        <v xml:space="preserve"> </v>
      </c>
      <c r="G10" s="822"/>
    </row>
    <row r="11" spans="1:14">
      <c r="B11" s="744"/>
      <c r="C11" s="823" t="s">
        <v>591</v>
      </c>
      <c r="D11" s="824"/>
      <c r="E11" s="788"/>
      <c r="F11" s="825" t="str">
        <f t="shared" si="0"/>
        <v xml:space="preserve"> </v>
      </c>
      <c r="G11" s="826"/>
    </row>
    <row r="12" spans="1:14">
      <c r="B12" s="744"/>
      <c r="C12" s="823" t="s">
        <v>591</v>
      </c>
      <c r="D12" s="824"/>
      <c r="E12" s="788"/>
      <c r="F12" s="825" t="str">
        <f t="shared" si="0"/>
        <v xml:space="preserve"> </v>
      </c>
      <c r="G12" s="826"/>
    </row>
    <row r="13" spans="1:14">
      <c r="B13" s="744"/>
      <c r="C13" s="823" t="s">
        <v>591</v>
      </c>
      <c r="D13" s="824"/>
      <c r="E13" s="788"/>
      <c r="F13" s="825" t="str">
        <f t="shared" si="0"/>
        <v xml:space="preserve"> </v>
      </c>
      <c r="G13" s="826"/>
    </row>
    <row r="14" spans="1:14">
      <c r="B14" s="744"/>
      <c r="C14" s="823" t="s">
        <v>591</v>
      </c>
      <c r="D14" s="824"/>
      <c r="E14" s="788"/>
      <c r="F14" s="825" t="str">
        <f t="shared" si="0"/>
        <v xml:space="preserve"> </v>
      </c>
      <c r="G14" s="826"/>
    </row>
    <row r="15" spans="1:14">
      <c r="B15" s="744"/>
      <c r="C15" s="823" t="s">
        <v>591</v>
      </c>
      <c r="D15" s="824"/>
      <c r="E15" s="788"/>
      <c r="F15" s="825" t="str">
        <f t="shared" si="0"/>
        <v xml:space="preserve"> </v>
      </c>
      <c r="G15" s="826"/>
    </row>
    <row r="16" spans="1:14">
      <c r="B16" s="744"/>
      <c r="C16" s="823" t="s">
        <v>591</v>
      </c>
      <c r="D16" s="824"/>
      <c r="E16" s="788"/>
      <c r="F16" s="825" t="str">
        <f t="shared" si="0"/>
        <v xml:space="preserve"> </v>
      </c>
      <c r="G16" s="826"/>
    </row>
    <row r="17" spans="2:7" ht="13.5" thickBot="1">
      <c r="B17" s="745"/>
      <c r="C17" s="827" t="s">
        <v>591</v>
      </c>
      <c r="D17" s="828"/>
      <c r="E17" s="789"/>
      <c r="F17" s="829" t="str">
        <f t="shared" si="0"/>
        <v xml:space="preserve"> </v>
      </c>
      <c r="G17" s="830"/>
    </row>
    <row r="18" spans="2:7" ht="13.5" thickBot="1">
      <c r="B18" s="82" t="s">
        <v>592</v>
      </c>
      <c r="C18" s="270" t="s">
        <v>590</v>
      </c>
      <c r="D18" s="270">
        <f>SUM(D19:D21)</f>
        <v>0</v>
      </c>
      <c r="E18" s="270">
        <f>SUM(E19:E21)</f>
        <v>0</v>
      </c>
      <c r="F18" s="301" t="str">
        <f t="shared" si="0"/>
        <v xml:space="preserve"> </v>
      </c>
      <c r="G18" s="270" t="s">
        <v>187</v>
      </c>
    </row>
    <row r="19" spans="2:7">
      <c r="B19" s="743"/>
      <c r="C19" s="819" t="s">
        <v>591</v>
      </c>
      <c r="D19" s="820"/>
      <c r="E19" s="790"/>
      <c r="F19" s="821" t="str">
        <f t="shared" si="0"/>
        <v xml:space="preserve"> </v>
      </c>
      <c r="G19" s="822"/>
    </row>
    <row r="20" spans="2:7">
      <c r="B20" s="744"/>
      <c r="C20" s="823" t="s">
        <v>591</v>
      </c>
      <c r="D20" s="824"/>
      <c r="E20" s="788"/>
      <c r="F20" s="825" t="str">
        <f t="shared" si="0"/>
        <v xml:space="preserve"> </v>
      </c>
      <c r="G20" s="826"/>
    </row>
    <row r="21" spans="2:7" ht="13.5" thickBot="1">
      <c r="B21" s="745"/>
      <c r="C21" s="827" t="s">
        <v>591</v>
      </c>
      <c r="D21" s="828"/>
      <c r="E21" s="789"/>
      <c r="F21" s="829" t="str">
        <f t="shared" si="0"/>
        <v xml:space="preserve"> </v>
      </c>
      <c r="G21" s="830"/>
    </row>
    <row r="22" spans="2:7" ht="27" customHeight="1" thickBot="1">
      <c r="B22" s="1477" t="s">
        <v>593</v>
      </c>
      <c r="C22" s="1478"/>
      <c r="D22" s="1478"/>
      <c r="E22" s="1479"/>
      <c r="F22" s="63" t="str">
        <f>IFERROR((F18+F9+F4)/3," ")</f>
        <v xml:space="preserve"> </v>
      </c>
    </row>
    <row r="23" spans="2:7" ht="22.35" customHeight="1" thickBot="1">
      <c r="B23" s="1474" t="s">
        <v>575</v>
      </c>
      <c r="C23" s="1475"/>
      <c r="D23" s="1475"/>
      <c r="E23" s="1475"/>
      <c r="F23" s="109">
        <v>0.7</v>
      </c>
    </row>
  </sheetData>
  <sheetProtection algorithmName="SHA-512" hashValue="HU+tTNLjd7NsTzo9+fY4ycFCw/xcuCfhw0HnbMykMzWcTBJdmj0dFAdezsJgIxXbmGkJ/3x6v0MdgjqK3eSJIg==" saltValue="cXKR1Xxj5OGIZDCchW/bVA==" spinCount="100000" sheet="1" objects="1" scenarios="1"/>
  <mergeCells count="3">
    <mergeCell ref="B23:E23"/>
    <mergeCell ref="B22:E22"/>
    <mergeCell ref="I4:N9"/>
  </mergeCells>
  <phoneticPr fontId="17" type="noConversion"/>
  <conditionalFormatting sqref="F22">
    <cfRule type="containsBlanks" dxfId="256" priority="1">
      <formula>LEN(TRIM(F22))=0</formula>
    </cfRule>
    <cfRule type="cellIs" dxfId="255" priority="2" operator="equal">
      <formula>$F$23</formula>
    </cfRule>
    <cfRule type="cellIs" dxfId="254" priority="3" operator="lessThan">
      <formula>$F$23</formula>
    </cfRule>
    <cfRule type="cellIs" dxfId="253" priority="4" operator="greaterThan">
      <formula>$F$23</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C28F9-EB3F-4653-B930-67F660298B5A}">
  <dimension ref="A1:M23"/>
  <sheetViews>
    <sheetView showGridLines="0" zoomScaleNormal="100" zoomScalePageLayoutView="80" workbookViewId="0">
      <selection activeCell="C18" sqref="C18"/>
    </sheetView>
  </sheetViews>
  <sheetFormatPr defaultColWidth="8.7109375" defaultRowHeight="12.75"/>
  <cols>
    <col min="1" max="1" width="5.28515625" customWidth="1"/>
    <col min="2" max="2" width="41.7109375" customWidth="1"/>
    <col min="3" max="4" width="21.7109375" customWidth="1"/>
    <col min="5" max="5" width="18.28515625" customWidth="1"/>
    <col min="6" max="6" width="16.42578125" customWidth="1"/>
    <col min="7" max="7" width="15.7109375" customWidth="1"/>
    <col min="8" max="8" width="24.28515625" customWidth="1"/>
    <col min="9" max="9" width="4" customWidth="1"/>
    <col min="10" max="10" width="46.7109375" customWidth="1"/>
    <col min="12" max="12" width="32.85546875" bestFit="1" customWidth="1"/>
    <col min="13" max="13" width="0" hidden="1" customWidth="1"/>
  </cols>
  <sheetData>
    <row r="1" spans="1:13" s="117" customFormat="1" ht="26.85" customHeight="1">
      <c r="A1" s="115" t="s">
        <v>594</v>
      </c>
      <c r="B1" s="116" t="s">
        <v>595</v>
      </c>
      <c r="C1" s="116"/>
      <c r="D1" s="116"/>
      <c r="E1" s="116" t="s">
        <v>4</v>
      </c>
      <c r="F1" s="116"/>
      <c r="G1" s="116" t="s">
        <v>5</v>
      </c>
    </row>
    <row r="4" spans="1:13" ht="13.5" thickBot="1"/>
    <row r="5" spans="1:13" ht="13.5" customHeight="1" thickBot="1">
      <c r="B5" s="2" t="s">
        <v>596</v>
      </c>
      <c r="C5" s="71"/>
      <c r="D5" s="446" t="s">
        <v>6</v>
      </c>
      <c r="F5" s="1480" t="s">
        <v>597</v>
      </c>
      <c r="G5" s="1480"/>
      <c r="H5" s="1480"/>
    </row>
    <row r="6" spans="1:13" ht="13.5" customHeight="1" thickBot="1">
      <c r="B6" s="2" t="s">
        <v>598</v>
      </c>
      <c r="C6" s="71"/>
      <c r="D6" s="446" t="s">
        <v>6</v>
      </c>
      <c r="F6" s="1480"/>
      <c r="G6" s="1480"/>
      <c r="H6" s="1480"/>
    </row>
    <row r="7" spans="1:13" ht="13.5" customHeight="1" thickBot="1">
      <c r="F7" s="1480"/>
      <c r="G7" s="1480"/>
      <c r="H7" s="1480"/>
    </row>
    <row r="8" spans="1:13" ht="13.5" thickBot="1">
      <c r="B8" s="2" t="s">
        <v>599</v>
      </c>
      <c r="C8" s="439">
        <f>C5-C6</f>
        <v>0</v>
      </c>
      <c r="D8" s="446" t="s">
        <v>6</v>
      </c>
      <c r="F8" s="1480"/>
      <c r="G8" s="1480"/>
      <c r="H8" s="1480"/>
    </row>
    <row r="9" spans="1:13" ht="13.5" thickBot="1">
      <c r="F9" s="1480"/>
      <c r="G9" s="1480"/>
      <c r="H9" s="1480"/>
    </row>
    <row r="10" spans="1:13" ht="13.5" thickBot="1">
      <c r="B10" s="2" t="s">
        <v>600</v>
      </c>
      <c r="C10" s="71"/>
      <c r="D10" s="446" t="s">
        <v>6</v>
      </c>
      <c r="F10" s="1480"/>
      <c r="G10" s="1480"/>
      <c r="H10" s="1480"/>
    </row>
    <row r="11" spans="1:13" ht="13.5" thickBot="1">
      <c r="B11" s="652" t="s">
        <v>363</v>
      </c>
      <c r="C11" s="1042">
        <f>IF(C8=0,0,C10/C8)</f>
        <v>0</v>
      </c>
      <c r="D11" s="335"/>
      <c r="F11" s="1480"/>
      <c r="G11" s="1480"/>
      <c r="H11" s="1480"/>
    </row>
    <row r="12" spans="1:13" ht="13.5" customHeight="1"/>
    <row r="13" spans="1:13" ht="13.5" customHeight="1" thickBot="1"/>
    <row r="14" spans="1:13" ht="13.5" customHeight="1" thickBot="1">
      <c r="B14" s="2" t="s">
        <v>601</v>
      </c>
      <c r="C14" s="71"/>
      <c r="D14" s="446" t="s">
        <v>6</v>
      </c>
      <c r="F14" s="1480" t="s">
        <v>602</v>
      </c>
      <c r="G14" s="1480"/>
      <c r="H14" s="1480"/>
      <c r="M14" t="s">
        <v>138</v>
      </c>
    </row>
    <row r="15" spans="1:13" ht="13.5" thickBot="1">
      <c r="F15" s="1480"/>
      <c r="G15" s="1480"/>
      <c r="H15" s="1480"/>
      <c r="M15" t="s">
        <v>139</v>
      </c>
    </row>
    <row r="16" spans="1:13" ht="13.5" thickBot="1">
      <c r="B16" s="2" t="s">
        <v>603</v>
      </c>
      <c r="C16" s="71"/>
      <c r="D16" s="446" t="s">
        <v>6</v>
      </c>
      <c r="F16" s="1480"/>
      <c r="G16" s="1480"/>
      <c r="H16" s="1480"/>
    </row>
    <row r="17" spans="2:8" ht="13.5" thickBot="1">
      <c r="B17" s="652" t="s">
        <v>363</v>
      </c>
      <c r="C17" s="1042">
        <f>IF(C14=0,0,C16/C14)</f>
        <v>0</v>
      </c>
      <c r="D17" s="335"/>
      <c r="F17" s="1480"/>
      <c r="G17" s="1480"/>
      <c r="H17" s="1480"/>
    </row>
    <row r="18" spans="2:8">
      <c r="B18" s="4"/>
    </row>
    <row r="19" spans="2:8" ht="13.5" thickBot="1">
      <c r="B19" s="4"/>
    </row>
    <row r="20" spans="2:8" ht="51.75" customHeight="1" thickBot="1">
      <c r="B20" s="652" t="s">
        <v>604</v>
      </c>
      <c r="C20" s="517"/>
      <c r="F20" s="1480" t="s">
        <v>605</v>
      </c>
      <c r="G20" s="1480"/>
      <c r="H20" s="1480"/>
    </row>
    <row r="22" spans="2:8" ht="13.5" thickBot="1"/>
    <row r="23" spans="2:8" ht="13.5" thickBot="1">
      <c r="B23" s="652" t="s">
        <v>606</v>
      </c>
      <c r="C23" s="1043" t="str">
        <f>IF(AND(C11&gt;=0.05,C17&gt;=0.35,C20="Sí"),"Sí","No")</f>
        <v>No</v>
      </c>
    </row>
  </sheetData>
  <sheetProtection algorithmName="SHA-512" hashValue="lRk7VaKG8/pPCl2RjJJLcMnKEqV8WilwzuucTlfilePTbGAqzxcX8/kQomx3kbJS+KZG81MJsyfaHBWn9oTRqA==" saltValue="b+1jG69S8y7kDLOdrEmxXw==" spinCount="100000" sheet="1" formatCells="0" formatColumns="0" formatRows="0" insertColumns="0" insertRows="0" insertHyperlinks="0" deleteColumns="0" deleteRows="0" sort="0" autoFilter="0" pivotTables="0"/>
  <mergeCells count="3">
    <mergeCell ref="F20:H20"/>
    <mergeCell ref="F14:H17"/>
    <mergeCell ref="F5:H11"/>
  </mergeCells>
  <conditionalFormatting sqref="C11">
    <cfRule type="cellIs" priority="1" operator="equal">
      <formula>""</formula>
    </cfRule>
    <cfRule type="cellIs" priority="2" operator="equal">
      <formula>0</formula>
    </cfRule>
    <cfRule type="cellIs" dxfId="252" priority="9" operator="greaterThanOrEqual">
      <formula>0.05</formula>
    </cfRule>
  </conditionalFormatting>
  <conditionalFormatting sqref="C17">
    <cfRule type="cellIs" dxfId="251" priority="3" operator="equal">
      <formula>""</formula>
    </cfRule>
    <cfRule type="cellIs" dxfId="250" priority="6" operator="greaterThanOrEqual">
      <formula>0.35</formula>
    </cfRule>
  </conditionalFormatting>
  <conditionalFormatting sqref="C23">
    <cfRule type="cellIs" dxfId="249" priority="7" operator="equal">
      <formula>"Sí"</formula>
    </cfRule>
  </conditionalFormatting>
  <dataValidations count="1">
    <dataValidation type="list" allowBlank="1" showInputMessage="1" showErrorMessage="1" sqref="C20" xr:uid="{77C26A55-10B0-4ED6-893A-CC1A6F94E14D}">
      <formula1>$M$13:$M$15</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1042F-802C-4057-85F6-D9B18FFA87F9}">
  <dimension ref="A1:J43"/>
  <sheetViews>
    <sheetView showGridLines="0" zoomScaleNormal="100" zoomScalePageLayoutView="80" workbookViewId="0">
      <selection activeCell="B17" sqref="B17:H20"/>
    </sheetView>
  </sheetViews>
  <sheetFormatPr defaultColWidth="8.7109375" defaultRowHeight="12.75"/>
  <cols>
    <col min="1" max="1" width="5.28515625" customWidth="1"/>
    <col min="2" max="2" width="23.7109375" customWidth="1"/>
    <col min="3" max="4" width="21.7109375" customWidth="1"/>
    <col min="5" max="5" width="18.28515625" customWidth="1"/>
    <col min="6" max="6" width="16.42578125" customWidth="1"/>
    <col min="7" max="7" width="15.7109375" customWidth="1"/>
    <col min="8" max="8" width="24.28515625" customWidth="1"/>
    <col min="9" max="9" width="15.28515625" customWidth="1"/>
    <col min="10" max="10" width="10.28515625" customWidth="1"/>
  </cols>
  <sheetData>
    <row r="1" spans="1:8" s="117" customFormat="1" ht="26.85" customHeight="1">
      <c r="A1" s="115" t="s">
        <v>607</v>
      </c>
      <c r="B1" s="116" t="s">
        <v>608</v>
      </c>
      <c r="C1" s="116"/>
      <c r="D1" s="116"/>
      <c r="F1" s="116" t="s">
        <v>4</v>
      </c>
      <c r="G1" s="116"/>
      <c r="H1" s="116" t="s">
        <v>5</v>
      </c>
    </row>
    <row r="2" spans="1:8" ht="13.5" thickBot="1"/>
    <row r="3" spans="1:8" ht="39" thickBot="1">
      <c r="B3" s="47" t="s">
        <v>17</v>
      </c>
      <c r="C3" s="58" t="s">
        <v>566</v>
      </c>
      <c r="D3" s="58" t="s">
        <v>609</v>
      </c>
      <c r="E3" s="111" t="s">
        <v>610</v>
      </c>
      <c r="F3" s="59" t="s">
        <v>611</v>
      </c>
      <c r="G3" s="111" t="s">
        <v>612</v>
      </c>
      <c r="H3" s="112" t="s">
        <v>613</v>
      </c>
    </row>
    <row r="4" spans="1:8" ht="13.5" thickBot="1">
      <c r="B4" s="93" t="s">
        <v>571</v>
      </c>
      <c r="C4" s="108">
        <f>SUM(C5:C7)</f>
        <v>0</v>
      </c>
      <c r="D4" s="108">
        <f>SUM(D5:D7)</f>
        <v>0</v>
      </c>
      <c r="E4" s="108" t="s">
        <v>614</v>
      </c>
      <c r="F4" s="113" t="str">
        <f t="shared" ref="F4:F10" si="0">IFERROR(D4/C4," ")</f>
        <v xml:space="preserve"> </v>
      </c>
      <c r="G4" s="108" t="s">
        <v>615</v>
      </c>
      <c r="H4" s="94" t="str">
        <f>IF(AND(D4&lt;=50, F4&lt;0.1),"sí","no")</f>
        <v>no</v>
      </c>
    </row>
    <row r="5" spans="1:8">
      <c r="B5" s="831"/>
      <c r="C5" s="832"/>
      <c r="D5" s="833"/>
      <c r="E5" s="834"/>
      <c r="F5" s="835" t="str">
        <f t="shared" si="0"/>
        <v xml:space="preserve"> </v>
      </c>
      <c r="G5" s="836"/>
      <c r="H5" s="836"/>
    </row>
    <row r="6" spans="1:8">
      <c r="B6" s="837"/>
      <c r="C6" s="661"/>
      <c r="D6" s="838"/>
      <c r="E6" s="839"/>
      <c r="F6" s="840" t="str">
        <f t="shared" si="0"/>
        <v xml:space="preserve"> </v>
      </c>
      <c r="G6" s="56"/>
      <c r="H6" s="56"/>
    </row>
    <row r="7" spans="1:8" ht="13.5" thickBot="1">
      <c r="B7" s="841"/>
      <c r="C7" s="842"/>
      <c r="D7" s="843"/>
      <c r="E7" s="844"/>
      <c r="F7" s="845" t="str">
        <f t="shared" si="0"/>
        <v xml:space="preserve"> </v>
      </c>
      <c r="G7" s="846"/>
      <c r="H7" s="846"/>
    </row>
    <row r="8" spans="1:8" ht="26.25" thickBot="1">
      <c r="B8" s="93" t="s">
        <v>616</v>
      </c>
      <c r="C8" s="108">
        <f>SUM(C9:C15)</f>
        <v>0</v>
      </c>
      <c r="D8" s="108">
        <f>SUM(D9:D15)</f>
        <v>0</v>
      </c>
      <c r="E8" s="90" t="s">
        <v>617</v>
      </c>
      <c r="F8" s="113" t="str">
        <f t="shared" si="0"/>
        <v xml:space="preserve"> </v>
      </c>
      <c r="G8" s="93" t="s">
        <v>618</v>
      </c>
      <c r="H8" s="94" t="str">
        <f>IF(AND(D8&lt;=300, F8&lt;0.25),"sí","no")</f>
        <v>no</v>
      </c>
    </row>
    <row r="9" spans="1:8">
      <c r="B9" s="831"/>
      <c r="C9" s="832"/>
      <c r="D9" s="833"/>
      <c r="E9" s="834"/>
      <c r="F9" s="835" t="str">
        <f t="shared" si="0"/>
        <v xml:space="preserve"> </v>
      </c>
      <c r="G9" s="836"/>
      <c r="H9" s="836"/>
    </row>
    <row r="10" spans="1:8">
      <c r="B10" s="837"/>
      <c r="C10" s="661"/>
      <c r="D10" s="838"/>
      <c r="E10" s="839"/>
      <c r="F10" s="840" t="str">
        <f t="shared" si="0"/>
        <v xml:space="preserve"> </v>
      </c>
      <c r="G10" s="56"/>
      <c r="H10" s="56"/>
    </row>
    <row r="11" spans="1:8">
      <c r="B11" s="837"/>
      <c r="C11" s="661"/>
      <c r="D11" s="838"/>
      <c r="E11" s="839"/>
      <c r="F11" s="840" t="str">
        <f t="shared" ref="F11:F14" si="1">IFERROR(D11/C11," ")</f>
        <v xml:space="preserve"> </v>
      </c>
      <c r="G11" s="56"/>
      <c r="H11" s="56"/>
    </row>
    <row r="12" spans="1:8">
      <c r="B12" s="837"/>
      <c r="C12" s="661"/>
      <c r="D12" s="847"/>
      <c r="E12" s="839"/>
      <c r="F12" s="840" t="str">
        <f t="shared" si="1"/>
        <v xml:space="preserve"> </v>
      </c>
      <c r="G12" s="56"/>
      <c r="H12" s="56"/>
    </row>
    <row r="13" spans="1:8">
      <c r="B13" s="837"/>
      <c r="C13" s="661"/>
      <c r="D13" s="838"/>
      <c r="E13" s="839"/>
      <c r="F13" s="840" t="str">
        <f t="shared" si="1"/>
        <v xml:space="preserve"> </v>
      </c>
      <c r="G13" s="56"/>
      <c r="H13" s="56"/>
    </row>
    <row r="14" spans="1:8">
      <c r="B14" s="837"/>
      <c r="C14" s="661"/>
      <c r="D14" s="838"/>
      <c r="E14" s="839"/>
      <c r="F14" s="840" t="str">
        <f t="shared" si="1"/>
        <v xml:space="preserve"> </v>
      </c>
      <c r="G14" s="56"/>
      <c r="H14" s="56"/>
    </row>
    <row r="15" spans="1:8" ht="13.5" thickBot="1">
      <c r="B15" s="841"/>
      <c r="C15" s="842"/>
      <c r="D15" s="843"/>
      <c r="E15" s="844"/>
      <c r="F15" s="845" t="str">
        <f>IFERROR(D15/C15," ")</f>
        <v xml:space="preserve"> </v>
      </c>
      <c r="G15" s="848"/>
      <c r="H15" s="848"/>
    </row>
    <row r="17" spans="2:10" ht="12.6" customHeight="1">
      <c r="B17" s="1481" t="s">
        <v>619</v>
      </c>
      <c r="C17" s="1481"/>
      <c r="D17" s="1481"/>
      <c r="E17" s="1481"/>
      <c r="F17" s="1481"/>
      <c r="G17" s="1481"/>
      <c r="H17" s="1481"/>
    </row>
    <row r="18" spans="2:10">
      <c r="B18" s="1481"/>
      <c r="C18" s="1481"/>
      <c r="D18" s="1481"/>
      <c r="E18" s="1481"/>
      <c r="F18" s="1481"/>
      <c r="G18" s="1481"/>
      <c r="H18" s="1481"/>
    </row>
    <row r="19" spans="2:10">
      <c r="B19" s="1481"/>
      <c r="C19" s="1481"/>
      <c r="D19" s="1481"/>
      <c r="E19" s="1481"/>
      <c r="F19" s="1481"/>
      <c r="G19" s="1481"/>
      <c r="H19" s="1481"/>
    </row>
    <row r="20" spans="2:10">
      <c r="B20" s="1481"/>
      <c r="C20" s="1481"/>
      <c r="D20" s="1481"/>
      <c r="E20" s="1481"/>
      <c r="F20" s="1481"/>
      <c r="G20" s="1481"/>
      <c r="H20" s="1481"/>
    </row>
    <row r="22" spans="2:10" ht="13.5" thickBot="1"/>
    <row r="23" spans="2:10" ht="39" thickBot="1">
      <c r="B23" s="302" t="s">
        <v>620</v>
      </c>
      <c r="C23" s="302" t="s">
        <v>621</v>
      </c>
      <c r="D23" s="302" t="s">
        <v>622</v>
      </c>
      <c r="E23" s="302" t="s">
        <v>623</v>
      </c>
      <c r="F23" s="302" t="s">
        <v>624</v>
      </c>
      <c r="G23" s="302" t="s">
        <v>625</v>
      </c>
      <c r="H23" s="302" t="s">
        <v>626</v>
      </c>
      <c r="I23" s="302" t="s">
        <v>627</v>
      </c>
      <c r="J23" s="303" t="s">
        <v>628</v>
      </c>
    </row>
    <row r="24" spans="2:10">
      <c r="B24" s="477"/>
      <c r="C24" s="289"/>
      <c r="D24" s="289"/>
      <c r="E24" s="480"/>
      <c r="F24" s="480"/>
      <c r="G24" s="480"/>
      <c r="H24" s="480"/>
      <c r="I24" s="480"/>
      <c r="J24" s="481"/>
    </row>
    <row r="25" spans="2:10">
      <c r="B25" s="478"/>
      <c r="C25" s="290"/>
      <c r="D25" s="290"/>
      <c r="E25" s="482"/>
      <c r="F25" s="482"/>
      <c r="G25" s="482"/>
      <c r="H25" s="482"/>
      <c r="I25" s="482"/>
      <c r="J25" s="483"/>
    </row>
    <row r="26" spans="2:10">
      <c r="B26" s="478"/>
      <c r="C26" s="290"/>
      <c r="D26" s="290"/>
      <c r="E26" s="482"/>
      <c r="F26" s="482"/>
      <c r="G26" s="482"/>
      <c r="H26" s="482"/>
      <c r="I26" s="482"/>
      <c r="J26" s="483"/>
    </row>
    <row r="27" spans="2:10">
      <c r="B27" s="478"/>
      <c r="C27" s="290"/>
      <c r="D27" s="290"/>
      <c r="E27" s="482"/>
      <c r="F27" s="482"/>
      <c r="G27" s="482"/>
      <c r="H27" s="482"/>
      <c r="I27" s="482"/>
      <c r="J27" s="483"/>
    </row>
    <row r="28" spans="2:10">
      <c r="B28" s="478"/>
      <c r="C28" s="290"/>
      <c r="D28" s="290"/>
      <c r="E28" s="482"/>
      <c r="F28" s="482"/>
      <c r="G28" s="482"/>
      <c r="H28" s="482"/>
      <c r="I28" s="482"/>
      <c r="J28" s="483"/>
    </row>
    <row r="29" spans="2:10">
      <c r="B29" s="478"/>
      <c r="C29" s="290"/>
      <c r="D29" s="290"/>
      <c r="E29" s="482"/>
      <c r="F29" s="482"/>
      <c r="G29" s="482"/>
      <c r="H29" s="482"/>
      <c r="I29" s="482"/>
      <c r="J29" s="483"/>
    </row>
    <row r="30" spans="2:10">
      <c r="B30" s="478"/>
      <c r="C30" s="290"/>
      <c r="D30" s="290"/>
      <c r="E30" s="482"/>
      <c r="F30" s="482"/>
      <c r="G30" s="482"/>
      <c r="H30" s="482"/>
      <c r="I30" s="482"/>
      <c r="J30" s="483"/>
    </row>
    <row r="31" spans="2:10">
      <c r="B31" s="478"/>
      <c r="C31" s="290"/>
      <c r="D31" s="290"/>
      <c r="E31" s="482"/>
      <c r="F31" s="482"/>
      <c r="G31" s="482"/>
      <c r="H31" s="482"/>
      <c r="I31" s="482"/>
      <c r="J31" s="483"/>
    </row>
    <row r="32" spans="2:10">
      <c r="B32" s="478"/>
      <c r="C32" s="290"/>
      <c r="D32" s="290"/>
      <c r="E32" s="482"/>
      <c r="F32" s="482"/>
      <c r="G32" s="482"/>
      <c r="H32" s="482"/>
      <c r="I32" s="482"/>
      <c r="J32" s="483"/>
    </row>
    <row r="33" spans="2:10">
      <c r="B33" s="478"/>
      <c r="C33" s="290"/>
      <c r="D33" s="290"/>
      <c r="E33" s="482"/>
      <c r="F33" s="482"/>
      <c r="G33" s="482"/>
      <c r="H33" s="482"/>
      <c r="I33" s="482"/>
      <c r="J33" s="483"/>
    </row>
    <row r="34" spans="2:10">
      <c r="B34" s="478"/>
      <c r="C34" s="290"/>
      <c r="D34" s="290"/>
      <c r="E34" s="482"/>
      <c r="F34" s="482"/>
      <c r="G34" s="482"/>
      <c r="H34" s="482"/>
      <c r="I34" s="482"/>
      <c r="J34" s="483"/>
    </row>
    <row r="35" spans="2:10">
      <c r="B35" s="478"/>
      <c r="C35" s="290"/>
      <c r="D35" s="290"/>
      <c r="E35" s="482"/>
      <c r="F35" s="482"/>
      <c r="G35" s="482"/>
      <c r="H35" s="482"/>
      <c r="I35" s="482"/>
      <c r="J35" s="483"/>
    </row>
    <row r="36" spans="2:10">
      <c r="B36" s="478"/>
      <c r="C36" s="290"/>
      <c r="D36" s="290"/>
      <c r="E36" s="482"/>
      <c r="F36" s="482"/>
      <c r="G36" s="482"/>
      <c r="H36" s="482"/>
      <c r="I36" s="482"/>
      <c r="J36" s="483"/>
    </row>
    <row r="37" spans="2:10">
      <c r="B37" s="478"/>
      <c r="C37" s="290"/>
      <c r="D37" s="290"/>
      <c r="E37" s="482"/>
      <c r="F37" s="482"/>
      <c r="G37" s="482"/>
      <c r="H37" s="482"/>
      <c r="I37" s="482"/>
      <c r="J37" s="483"/>
    </row>
    <row r="38" spans="2:10">
      <c r="B38" s="478"/>
      <c r="C38" s="290"/>
      <c r="D38" s="290"/>
      <c r="E38" s="482"/>
      <c r="F38" s="482"/>
      <c r="G38" s="482"/>
      <c r="H38" s="482"/>
      <c r="I38" s="482"/>
      <c r="J38" s="483"/>
    </row>
    <row r="39" spans="2:10">
      <c r="B39" s="478"/>
      <c r="C39" s="290"/>
      <c r="D39" s="290"/>
      <c r="E39" s="482"/>
      <c r="F39" s="482"/>
      <c r="G39" s="482"/>
      <c r="H39" s="482"/>
      <c r="I39" s="482"/>
      <c r="J39" s="483"/>
    </row>
    <row r="40" spans="2:10">
      <c r="B40" s="478"/>
      <c r="C40" s="290"/>
      <c r="D40" s="290"/>
      <c r="E40" s="482"/>
      <c r="F40" s="482"/>
      <c r="G40" s="482"/>
      <c r="H40" s="482"/>
      <c r="I40" s="482"/>
      <c r="J40" s="483"/>
    </row>
    <row r="41" spans="2:10">
      <c r="B41" s="478"/>
      <c r="C41" s="290"/>
      <c r="D41" s="290"/>
      <c r="E41" s="482"/>
      <c r="F41" s="482"/>
      <c r="G41" s="482"/>
      <c r="H41" s="482"/>
      <c r="I41" s="482"/>
      <c r="J41" s="483"/>
    </row>
    <row r="42" spans="2:10">
      <c r="B42" s="478"/>
      <c r="C42" s="290"/>
      <c r="D42" s="290"/>
      <c r="E42" s="482"/>
      <c r="F42" s="482"/>
      <c r="G42" s="482"/>
      <c r="H42" s="482"/>
      <c r="I42" s="482"/>
      <c r="J42" s="483"/>
    </row>
    <row r="43" spans="2:10" ht="13.5" thickBot="1">
      <c r="B43" s="479"/>
      <c r="C43" s="291"/>
      <c r="D43" s="291"/>
      <c r="E43" s="484"/>
      <c r="F43" s="484"/>
      <c r="G43" s="484"/>
      <c r="H43" s="484"/>
      <c r="I43" s="484"/>
      <c r="J43" s="485"/>
    </row>
  </sheetData>
  <sheetProtection algorithmName="SHA-512" hashValue="HErZmucn2Xu8w6FHsr5c2NdlJUrFFqTkcptqT44RYMcURO9wOoymfC/Maxol8LfokX9gznCy1jG/pDswP+yy3g==" saltValue="VWFNczcEYWfXz6LoWib+Xw==" spinCount="100000" sheet="1" objects="1" scenarios="1"/>
  <mergeCells count="1">
    <mergeCell ref="B17:H20"/>
  </mergeCells>
  <conditionalFormatting sqref="D4">
    <cfRule type="cellIs" dxfId="248" priority="10" operator="equal">
      <formula>50</formula>
    </cfRule>
    <cfRule type="cellIs" dxfId="247" priority="11" operator="lessThan">
      <formula>50</formula>
    </cfRule>
    <cfRule type="cellIs" dxfId="246" priority="12" operator="greaterThan">
      <formula>50</formula>
    </cfRule>
  </conditionalFormatting>
  <conditionalFormatting sqref="D8">
    <cfRule type="cellIs" dxfId="245" priority="7" operator="equal">
      <formula>300</formula>
    </cfRule>
    <cfRule type="cellIs" dxfId="244" priority="8" operator="lessThan">
      <formula>300</formula>
    </cfRule>
    <cfRule type="cellIs" dxfId="243" priority="9" operator="greaterThan">
      <formula>300</formula>
    </cfRule>
  </conditionalFormatting>
  <conditionalFormatting sqref="E24:I43">
    <cfRule type="containsText" dxfId="242" priority="3" operator="containsText" text="No tiene">
      <formula>NOT(ISERROR(SEARCH("No tiene",E24)))</formula>
    </cfRule>
    <cfRule type="containsText" dxfId="241" priority="4" operator="containsText" text="Tiene">
      <formula>NOT(ISERROR(SEARCH("Tiene",E24)))</formula>
    </cfRule>
  </conditionalFormatting>
  <conditionalFormatting sqref="F4">
    <cfRule type="cellIs" dxfId="240" priority="16" operator="equal">
      <formula>0.1</formula>
    </cfRule>
    <cfRule type="cellIs" dxfId="239" priority="17" operator="lessThan">
      <formula>0.1</formula>
    </cfRule>
    <cfRule type="cellIs" dxfId="238" priority="18" operator="greaterThan">
      <formula>0.1</formula>
    </cfRule>
  </conditionalFormatting>
  <conditionalFormatting sqref="F8">
    <cfRule type="cellIs" dxfId="237" priority="13" operator="lessThan">
      <formula>0.25</formula>
    </cfRule>
    <cfRule type="cellIs" dxfId="236" priority="14" operator="equal">
      <formula>0.25</formula>
    </cfRule>
    <cfRule type="cellIs" dxfId="235" priority="15" operator="greaterThan">
      <formula>0.25</formula>
    </cfRule>
  </conditionalFormatting>
  <conditionalFormatting sqref="H4 H8">
    <cfRule type="cellIs" dxfId="234" priority="5" operator="equal">
      <formula>"no"</formula>
    </cfRule>
    <cfRule type="cellIs" dxfId="233" priority="6" operator="equal">
      <formula>"sí"</formula>
    </cfRule>
  </conditionalFormatting>
  <conditionalFormatting sqref="J24:J43">
    <cfRule type="containsText" dxfId="232" priority="1" operator="containsText" text="Listo">
      <formula>NOT(ISERROR(SEARCH("Listo",J24)))</formula>
    </cfRule>
    <cfRule type="containsText" dxfId="231" priority="2" operator="containsText" text="Pendiente">
      <formula>NOT(ISERROR(SEARCH("Pendiente",J24)))</formula>
    </cfRule>
  </conditionalFormatting>
  <dataValidations count="2">
    <dataValidation type="list" allowBlank="1" showInputMessage="1" showErrorMessage="1" sqref="E24:I43" xr:uid="{739306CB-6181-4632-917F-E846B72DA32F}">
      <formula1>"Tiene,No tiene"</formula1>
    </dataValidation>
    <dataValidation type="list" allowBlank="1" showInputMessage="1" showErrorMessage="1" sqref="J24:J43" xr:uid="{109EE617-0987-4639-A3F3-310FD8CD4C57}">
      <formula1>"Listo,Pendiente"</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15797-7FA5-44EF-A209-B0319BC3B484}">
  <dimension ref="A1:N37"/>
  <sheetViews>
    <sheetView showGridLines="0" zoomScaleNormal="100" zoomScalePageLayoutView="80" workbookViewId="0">
      <selection activeCell="C18" sqref="C18"/>
    </sheetView>
  </sheetViews>
  <sheetFormatPr defaultColWidth="8.7109375" defaultRowHeight="12.75"/>
  <cols>
    <col min="1" max="1" width="5.28515625" customWidth="1"/>
    <col min="2" max="2" width="26.7109375" customWidth="1"/>
    <col min="3" max="3" width="25.28515625" customWidth="1"/>
    <col min="4" max="4" width="26.5703125" customWidth="1"/>
    <col min="5" max="5" width="16.42578125" customWidth="1"/>
    <col min="6" max="6" width="16.7109375" customWidth="1"/>
    <col min="7" max="9" width="14.7109375" customWidth="1"/>
    <col min="10" max="10" width="3.28515625" customWidth="1"/>
    <col min="11" max="11" width="35.28515625" customWidth="1"/>
    <col min="12" max="12" width="10.28515625" customWidth="1"/>
  </cols>
  <sheetData>
    <row r="1" spans="1:11" s="117" customFormat="1" ht="26.85" customHeight="1">
      <c r="A1" s="115" t="s">
        <v>629</v>
      </c>
      <c r="B1" s="116" t="s">
        <v>630</v>
      </c>
      <c r="C1" s="116"/>
      <c r="D1" s="116"/>
      <c r="E1" s="116" t="s">
        <v>4</v>
      </c>
      <c r="F1" s="116"/>
      <c r="G1" s="116" t="s">
        <v>5</v>
      </c>
    </row>
    <row r="2" spans="1:11" ht="13.5" thickBot="1"/>
    <row r="3" spans="1:11" ht="13.5" customHeight="1" thickBot="1">
      <c r="B3" s="271" t="s">
        <v>631</v>
      </c>
      <c r="C3" s="272"/>
      <c r="D3" s="272"/>
      <c r="E3" s="272"/>
      <c r="F3" s="272"/>
      <c r="G3" s="274"/>
      <c r="H3" s="274"/>
      <c r="I3" s="850"/>
      <c r="K3" s="1476" t="s">
        <v>632</v>
      </c>
    </row>
    <row r="4" spans="1:11" ht="43.35" customHeight="1" thickBot="1">
      <c r="B4" s="277" t="s">
        <v>633</v>
      </c>
      <c r="C4" s="49" t="s">
        <v>634</v>
      </c>
      <c r="D4" s="49" t="s">
        <v>635</v>
      </c>
      <c r="E4" s="49" t="s">
        <v>636</v>
      </c>
      <c r="F4" s="49" t="s">
        <v>637</v>
      </c>
      <c r="G4" s="49" t="s">
        <v>638</v>
      </c>
      <c r="H4" s="49" t="s">
        <v>639</v>
      </c>
      <c r="I4" s="849" t="s">
        <v>640</v>
      </c>
      <c r="K4" s="1485"/>
    </row>
    <row r="5" spans="1:11">
      <c r="B5" s="275"/>
      <c r="C5" s="276"/>
      <c r="D5" s="276"/>
      <c r="E5" s="613"/>
      <c r="F5" s="276"/>
      <c r="G5" s="614"/>
      <c r="H5" s="989" t="str" cm="1">
        <f t="array" ref="H5">_xlfn.IFS(G5=0," ",G5&lt;=0.25,"Cumple COV",AND(G5&gt;0.25,F5="SI"),"No cumple COV",AND(G5&gt;0.25,F5="NO"),"Cumple COV")</f>
        <v xml:space="preserve"> </v>
      </c>
      <c r="I5" s="990" t="str">
        <f>IF(SUM(E5:G5)=0,"Completar",IF(AND(E5="No tiene",H5="Cumple COV"),"Cumple","No Cumple"))</f>
        <v>Completar</v>
      </c>
      <c r="K5" s="1485"/>
    </row>
    <row r="6" spans="1:11">
      <c r="B6" s="75"/>
      <c r="C6" s="78"/>
      <c r="D6" s="78"/>
      <c r="E6" s="615"/>
      <c r="F6" s="78"/>
      <c r="G6" s="616"/>
      <c r="H6" s="991" t="str" cm="1">
        <f t="array" ref="H6">_xlfn.IFS(G6=0," ",G6&lt;=0.25,"Cumple COV",AND(G6&gt;0.25,F6="SI"),"No cumple COV",AND(G6&gt;0.25,F6="NO"),"Cumple COV")</f>
        <v xml:space="preserve"> </v>
      </c>
      <c r="I6" s="45" t="str">
        <f t="shared" ref="I6:I10" si="0">IF(SUM(E6:G6)=0,"Completar",IF(AND(E6="No tiene",H6="Cumple COV"),"Cumple","No Cumple"))</f>
        <v>Completar</v>
      </c>
      <c r="K6" s="1485"/>
    </row>
    <row r="7" spans="1:11">
      <c r="B7" s="75"/>
      <c r="C7" s="78"/>
      <c r="D7" s="78"/>
      <c r="E7" s="615"/>
      <c r="F7" s="78"/>
      <c r="G7" s="616"/>
      <c r="H7" s="991" t="str" cm="1">
        <f t="array" ref="H7">_xlfn.IFS(G7=0," ",G7&lt;=0.25,"Cumple COV",AND(G7&gt;0.25,F7="SI"),"No cumple COV",AND(G7&gt;0.25,F7="NO"),"Cumple COV")</f>
        <v xml:space="preserve"> </v>
      </c>
      <c r="I7" s="45" t="str">
        <f t="shared" si="0"/>
        <v>Completar</v>
      </c>
      <c r="K7" s="1485"/>
    </row>
    <row r="8" spans="1:11">
      <c r="B8" s="75"/>
      <c r="C8" s="78"/>
      <c r="D8" s="78"/>
      <c r="E8" s="615"/>
      <c r="F8" s="78"/>
      <c r="G8" s="616"/>
      <c r="H8" s="991" t="str" cm="1">
        <f t="array" ref="H8">_xlfn.IFS(G8=0," ",G8&lt;=0.25,"Cumple COV",AND(G8&gt;0.25,F8="SI"),"No cumple COV",AND(G8&gt;0.25,F8="NO"),"Cumple COV")</f>
        <v xml:space="preserve"> </v>
      </c>
      <c r="I8" s="45" t="str">
        <f t="shared" si="0"/>
        <v>Completar</v>
      </c>
      <c r="K8" s="1485"/>
    </row>
    <row r="9" spans="1:11">
      <c r="B9" s="75"/>
      <c r="C9" s="78"/>
      <c r="D9" s="78"/>
      <c r="E9" s="615"/>
      <c r="F9" s="78"/>
      <c r="G9" s="616"/>
      <c r="H9" s="991" t="str" cm="1">
        <f t="array" ref="H9">_xlfn.IFS(G9=0," ",G9&lt;=0.25,"Cumple COV",AND(G9&gt;0.25,F9="SI"),"No cumple COV",AND(G9&gt;0.25,F9="NO"),"Cumple COV")</f>
        <v xml:space="preserve"> </v>
      </c>
      <c r="I9" s="45" t="str">
        <f t="shared" si="0"/>
        <v>Completar</v>
      </c>
      <c r="K9" s="1485"/>
    </row>
    <row r="10" spans="1:11" ht="13.5" thickBot="1">
      <c r="B10" s="76"/>
      <c r="C10" s="79"/>
      <c r="D10" s="79"/>
      <c r="E10" s="617"/>
      <c r="F10" s="79"/>
      <c r="G10" s="618"/>
      <c r="H10" s="992" t="str" cm="1">
        <f t="array" ref="H10">_xlfn.IFS(G10=0," ",G10&lt;=0.25,"Cumple COV",AND(G10&gt;0.25,F10="SI"),"No cumple COV",AND(G10&gt;0.25,F10="NO"),"Cumple COV")</f>
        <v xml:space="preserve"> </v>
      </c>
      <c r="I10" s="993" t="str">
        <f t="shared" si="0"/>
        <v>Completar</v>
      </c>
      <c r="K10" s="1485"/>
    </row>
    <row r="11" spans="1:11" ht="13.5" thickBot="1"/>
    <row r="12" spans="1:11" ht="13.5" customHeight="1" thickBot="1">
      <c r="B12" s="271" t="s">
        <v>641</v>
      </c>
      <c r="C12" s="272"/>
      <c r="D12" s="272"/>
      <c r="E12" s="272"/>
      <c r="F12" s="272"/>
      <c r="G12" s="274"/>
      <c r="K12" s="1476" t="s">
        <v>642</v>
      </c>
    </row>
    <row r="13" spans="1:11" ht="39" thickBot="1">
      <c r="B13" s="277" t="s">
        <v>633</v>
      </c>
      <c r="C13" s="49" t="s">
        <v>634</v>
      </c>
      <c r="D13" s="49" t="s">
        <v>635</v>
      </c>
      <c r="E13" s="49" t="s">
        <v>637</v>
      </c>
      <c r="F13" s="49" t="s">
        <v>638</v>
      </c>
      <c r="G13" s="849" t="s">
        <v>640</v>
      </c>
      <c r="K13" s="1485"/>
    </row>
    <row r="14" spans="1:11">
      <c r="B14" s="275"/>
      <c r="C14" s="276"/>
      <c r="D14" s="276"/>
      <c r="E14" s="276"/>
      <c r="F14" s="614"/>
      <c r="G14" s="994" t="str" cm="1">
        <f t="array" ref="G14">_xlfn.IFS(SUM(E14:F14)=0,"Completar",E14=0," ",F14&lt;=0.25,"Cumple",AND(F14&gt;0.25,E14="SI"),"No cumple",AND(F14&gt;0.25,E14="NO"),"Cumple")</f>
        <v>Completar</v>
      </c>
      <c r="K14" s="1485"/>
    </row>
    <row r="15" spans="1:11">
      <c r="B15" s="75"/>
      <c r="C15" s="78"/>
      <c r="D15" s="78"/>
      <c r="E15" s="78"/>
      <c r="F15" s="616"/>
      <c r="G15" s="995" t="str" cm="1">
        <f t="array" ref="G15">_xlfn.IFS(SUM(E15:F15)=0,"Completar",E15=0," ",F15&lt;=0.25,"Cumple",AND(F15&gt;0.25,E15="SI"),"No cumple",AND(F15&gt;0.25,E15="NO"),"Cumple")</f>
        <v>Completar</v>
      </c>
      <c r="K15" s="1485"/>
    </row>
    <row r="16" spans="1:11">
      <c r="B16" s="75"/>
      <c r="C16" s="78"/>
      <c r="D16" s="78"/>
      <c r="E16" s="78"/>
      <c r="F16" s="616"/>
      <c r="G16" s="995" t="str" cm="1">
        <f t="array" ref="G16">_xlfn.IFS(SUM(E16:F16)=0,"Completar",E16=0," ",F16&lt;=0.25,"Cumple",AND(F16&gt;0.25,E16="SI"),"No cumple",AND(F16&gt;0.25,E16="NO"),"Cumple")</f>
        <v>Completar</v>
      </c>
      <c r="K16" s="1485"/>
    </row>
    <row r="17" spans="2:14">
      <c r="B17" s="75"/>
      <c r="C17" s="78"/>
      <c r="D17" s="78"/>
      <c r="E17" s="78"/>
      <c r="F17" s="616"/>
      <c r="G17" s="995" t="str" cm="1">
        <f t="array" ref="G17">_xlfn.IFS(SUM(E17:F17)=0,"Completar",E17=0," ",F17&lt;=0.25,"Cumple",AND(F17&gt;0.25,E17="SI"),"No cumple",AND(F17&gt;0.25,E17="NO"),"Cumple")</f>
        <v>Completar</v>
      </c>
      <c r="K17" s="1485"/>
    </row>
    <row r="18" spans="2:14">
      <c r="B18" s="75"/>
      <c r="C18" s="78"/>
      <c r="D18" s="78"/>
      <c r="E18" s="78"/>
      <c r="F18" s="616"/>
      <c r="G18" s="995" t="str" cm="1">
        <f t="array" ref="G18">_xlfn.IFS(SUM(E18:F18)=0,"Completar",E18=0," ",F18&lt;=0.25,"Cumple",AND(F18&gt;0.25,E18="SI"),"No cumple",AND(F18&gt;0.25,E18="NO"),"Cumple")</f>
        <v>Completar</v>
      </c>
      <c r="K18" s="1485"/>
    </row>
    <row r="19" spans="2:14" ht="13.5" thickBot="1">
      <c r="B19" s="76"/>
      <c r="C19" s="79"/>
      <c r="D19" s="79"/>
      <c r="E19" s="79"/>
      <c r="F19" s="618"/>
      <c r="G19" s="996" t="str" cm="1">
        <f t="array" ref="G19">_xlfn.IFS(SUM(E19:F19)=0,"Completar",E19=0," ",F19&lt;=0.25,"Cumple",AND(F19&gt;0.25,E19="SI"),"No cumple",AND(F19&gt;0.25,E19="NO"),"Cumple")</f>
        <v>Completar</v>
      </c>
      <c r="K19" s="1485"/>
    </row>
    <row r="20" spans="2:14" ht="13.5" thickBot="1"/>
    <row r="21" spans="2:14" ht="14.1" customHeight="1" thickBot="1">
      <c r="B21" s="1482" t="s">
        <v>643</v>
      </c>
      <c r="C21" s="1483"/>
      <c r="D21" s="1483"/>
      <c r="E21" s="1483"/>
      <c r="F21" s="1484"/>
      <c r="G21" s="272"/>
      <c r="H21" s="273"/>
      <c r="I21" s="850"/>
      <c r="K21" s="1059" t="s">
        <v>644</v>
      </c>
      <c r="L21" s="1059"/>
      <c r="M21" s="1059"/>
      <c r="N21" s="1059"/>
    </row>
    <row r="22" spans="2:14" ht="26.25" thickBot="1">
      <c r="B22" s="277" t="s">
        <v>633</v>
      </c>
      <c r="C22" s="49" t="s">
        <v>634</v>
      </c>
      <c r="D22" s="49" t="s">
        <v>635</v>
      </c>
      <c r="E22" s="49" t="s">
        <v>645</v>
      </c>
      <c r="F22" s="49" t="s">
        <v>646</v>
      </c>
      <c r="G22" s="49" t="s">
        <v>647</v>
      </c>
      <c r="H22" s="288" t="s">
        <v>648</v>
      </c>
      <c r="I22" s="849" t="s">
        <v>640</v>
      </c>
      <c r="K22" s="1059"/>
      <c r="L22" s="1059"/>
      <c r="M22" s="1059"/>
      <c r="N22" s="1059"/>
    </row>
    <row r="23" spans="2:14">
      <c r="B23" s="275"/>
      <c r="C23" s="276"/>
      <c r="D23" s="276"/>
      <c r="E23" s="276"/>
      <c r="F23" s="613"/>
      <c r="G23" s="613"/>
      <c r="H23" s="481"/>
      <c r="I23" s="994" t="str" cm="1">
        <f t="array" ref="I23">IFERROR(_xlfn.IFS(F23="Si tiene","No cumple",F23="No tiene","Cumple",G23="No tiene","Cumple",G23="Si tiene","No cumple"),"Completar")</f>
        <v>Completar</v>
      </c>
      <c r="K23" s="1059"/>
      <c r="L23" s="1059"/>
      <c r="M23" s="1059"/>
      <c r="N23" s="1059"/>
    </row>
    <row r="24" spans="2:14">
      <c r="B24" s="75"/>
      <c r="C24" s="78"/>
      <c r="D24" s="78"/>
      <c r="E24" s="78"/>
      <c r="F24" s="615"/>
      <c r="G24" s="615"/>
      <c r="H24" s="483"/>
      <c r="I24" s="995" t="str" cm="1">
        <f t="array" ref="I24">IFERROR(_xlfn.IFS(F24="Si tiene","No cumple",F24="No tiene","Cumple",G24="No tiene","Cumple",G24="Si tiene","No cumple"),"Completar")</f>
        <v>Completar</v>
      </c>
      <c r="K24" s="1059"/>
      <c r="L24" s="1059"/>
      <c r="M24" s="1059"/>
      <c r="N24" s="1059"/>
    </row>
    <row r="25" spans="2:14">
      <c r="B25" s="75"/>
      <c r="C25" s="78"/>
      <c r="D25" s="78"/>
      <c r="E25" s="78"/>
      <c r="F25" s="615"/>
      <c r="G25" s="615"/>
      <c r="H25" s="483"/>
      <c r="I25" s="995" t="str" cm="1">
        <f t="array" ref="I25">IFERROR(_xlfn.IFS(F25="Si tiene","No cumple",F25="No tiene","Cumple",G25="No tiene","Cumple",G25="Si tiene","No cumple"),"Completar")</f>
        <v>Completar</v>
      </c>
      <c r="K25" s="1059"/>
      <c r="L25" s="1059"/>
      <c r="M25" s="1059"/>
      <c r="N25" s="1059"/>
    </row>
    <row r="26" spans="2:14">
      <c r="B26" s="75"/>
      <c r="C26" s="78"/>
      <c r="D26" s="78"/>
      <c r="E26" s="78"/>
      <c r="F26" s="615"/>
      <c r="G26" s="615"/>
      <c r="H26" s="483"/>
      <c r="I26" s="995" t="str" cm="1">
        <f t="array" ref="I26">IFERROR(_xlfn.IFS(F26="Si tiene","No cumple",F26="No tiene","Cumple",G26="No tiene","Cumple",G26="Si tiene","No cumple"),"Completar")</f>
        <v>Completar</v>
      </c>
      <c r="K26" s="1059"/>
      <c r="L26" s="1059"/>
      <c r="M26" s="1059"/>
      <c r="N26" s="1059"/>
    </row>
    <row r="27" spans="2:14">
      <c r="B27" s="75"/>
      <c r="C27" s="78"/>
      <c r="D27" s="78"/>
      <c r="E27" s="78"/>
      <c r="F27" s="615"/>
      <c r="G27" s="615"/>
      <c r="H27" s="483"/>
      <c r="I27" s="995" t="str" cm="1">
        <f t="array" ref="I27">IFERROR(_xlfn.IFS(F27="Si tiene","No cumple",F27="No tiene","Cumple",G27="No tiene","Cumple",G27="Si tiene","No cumple"),"Completar")</f>
        <v>Completar</v>
      </c>
      <c r="K27" s="1059"/>
      <c r="L27" s="1059"/>
      <c r="M27" s="1059"/>
      <c r="N27" s="1059"/>
    </row>
    <row r="28" spans="2:14" ht="13.5" thickBot="1">
      <c r="B28" s="76"/>
      <c r="C28" s="79"/>
      <c r="D28" s="79"/>
      <c r="E28" s="79"/>
      <c r="F28" s="617"/>
      <c r="G28" s="617"/>
      <c r="H28" s="485"/>
      <c r="I28" s="996" t="str" cm="1">
        <f t="array" ref="I28">IFERROR(_xlfn.IFS(F28="Si tiene","No cumple",F28="No tiene","Cumple",G28="No tiene","Cumple",G28="Si tiene","No cumple"),"Completar")</f>
        <v>Completar</v>
      </c>
      <c r="K28" s="1059"/>
      <c r="L28" s="1059"/>
      <c r="M28" s="1059"/>
      <c r="N28" s="1059"/>
    </row>
    <row r="29" spans="2:14" ht="13.5" thickBot="1"/>
    <row r="30" spans="2:14" ht="13.35" customHeight="1" thickBot="1">
      <c r="B30" s="1482" t="s">
        <v>649</v>
      </c>
      <c r="C30" s="1483"/>
      <c r="D30" s="1483"/>
      <c r="E30" s="1483"/>
      <c r="F30" s="1484"/>
      <c r="K30" s="1476" t="s">
        <v>650</v>
      </c>
    </row>
    <row r="31" spans="2:14" ht="62.65" customHeight="1" thickBot="1">
      <c r="B31" s="277" t="s">
        <v>633</v>
      </c>
      <c r="C31" s="49" t="s">
        <v>634</v>
      </c>
      <c r="D31" s="49" t="s">
        <v>635</v>
      </c>
      <c r="E31" s="1170" t="s">
        <v>651</v>
      </c>
      <c r="F31" s="1171"/>
      <c r="K31" s="1485"/>
    </row>
    <row r="32" spans="2:14">
      <c r="B32" s="275"/>
      <c r="C32" s="276"/>
      <c r="D32" s="276"/>
      <c r="E32" s="1490"/>
      <c r="F32" s="1491"/>
      <c r="K32" s="1485"/>
    </row>
    <row r="33" spans="2:11">
      <c r="B33" s="75"/>
      <c r="C33" s="78"/>
      <c r="D33" s="78"/>
      <c r="E33" s="1486"/>
      <c r="F33" s="1487"/>
      <c r="K33" s="1485"/>
    </row>
    <row r="34" spans="2:11">
      <c r="B34" s="75"/>
      <c r="C34" s="78"/>
      <c r="D34" s="78"/>
      <c r="E34" s="1486"/>
      <c r="F34" s="1487"/>
      <c r="K34" s="1485"/>
    </row>
    <row r="35" spans="2:11">
      <c r="B35" s="75"/>
      <c r="C35" s="78"/>
      <c r="D35" s="78"/>
      <c r="E35" s="1486"/>
      <c r="F35" s="1487"/>
      <c r="K35" s="1485"/>
    </row>
    <row r="36" spans="2:11">
      <c r="B36" s="75"/>
      <c r="C36" s="78"/>
      <c r="D36" s="78"/>
      <c r="E36" s="1486"/>
      <c r="F36" s="1487"/>
      <c r="K36" s="1485"/>
    </row>
    <row r="37" spans="2:11" ht="13.5" thickBot="1">
      <c r="B37" s="76"/>
      <c r="C37" s="79"/>
      <c r="D37" s="79"/>
      <c r="E37" s="1488"/>
      <c r="F37" s="1489"/>
      <c r="K37" s="1485"/>
    </row>
  </sheetData>
  <sheetProtection algorithmName="SHA-512" hashValue="1QTE2MGmAIpB3dJdS+HFpuxxihfKpj1aInh5kasXxkSwSK4qRJudsYAM0iTyhqbUaMWm4EbFcAYoH+GjJO/o8Q==" saltValue="b96OTlQ5pB4jDqj06tO4cQ==" spinCount="100000" sheet="1" objects="1" scenarios="1"/>
  <mergeCells count="13">
    <mergeCell ref="K21:N28"/>
    <mergeCell ref="B21:F21"/>
    <mergeCell ref="K30:K37"/>
    <mergeCell ref="K3:K10"/>
    <mergeCell ref="K12:K19"/>
    <mergeCell ref="E36:F36"/>
    <mergeCell ref="E37:F37"/>
    <mergeCell ref="B30:F30"/>
    <mergeCell ref="E31:F31"/>
    <mergeCell ref="E32:F32"/>
    <mergeCell ref="E33:F33"/>
    <mergeCell ref="E34:F34"/>
    <mergeCell ref="E35:F35"/>
  </mergeCells>
  <conditionalFormatting sqref="E5:E10">
    <cfRule type="containsText" dxfId="230" priority="43" operator="containsText" text="No tiene">
      <formula>NOT(ISERROR(SEARCH("No tiene",E5)))</formula>
    </cfRule>
    <cfRule type="containsText" dxfId="229" priority="44" operator="containsText" text="Si tiene">
      <formula>NOT(ISERROR(SEARCH("Si tiene",E5)))</formula>
    </cfRule>
  </conditionalFormatting>
  <conditionalFormatting sqref="E23:E28">
    <cfRule type="containsText" dxfId="228" priority="25" operator="containsText" text="SI">
      <formula>NOT(ISERROR(SEARCH("SI",E23)))</formula>
    </cfRule>
  </conditionalFormatting>
  <conditionalFormatting sqref="E32:E37">
    <cfRule type="containsText" dxfId="227" priority="12" operator="containsText" text="SI">
      <formula>NOT(ISERROR(SEARCH("SI",E32)))</formula>
    </cfRule>
    <cfRule type="containsText" dxfId="226" priority="13" operator="containsText" text="NO">
      <formula>NOT(ISERROR(SEARCH("NO",E32)))</formula>
    </cfRule>
  </conditionalFormatting>
  <conditionalFormatting sqref="E23:H28">
    <cfRule type="containsText" dxfId="225" priority="26" operator="containsText" text="No tiene">
      <formula>NOT(ISERROR(SEARCH("No tiene",E23)))</formula>
    </cfRule>
    <cfRule type="containsText" dxfId="224" priority="27" operator="containsText" text="Si tiene">
      <formula>NOT(ISERROR(SEARCH("Si tiene",E23)))</formula>
    </cfRule>
  </conditionalFormatting>
  <conditionalFormatting sqref="G14:G19">
    <cfRule type="containsText" dxfId="223" priority="9" operator="containsText" text="No cumple">
      <formula>NOT(ISERROR(SEARCH("No cumple",G14)))</formula>
    </cfRule>
    <cfRule type="containsText" dxfId="222" priority="10" operator="containsText" text="Cumple">
      <formula>NOT(ISERROR(SEARCH("Cumple",G14)))</formula>
    </cfRule>
  </conditionalFormatting>
  <conditionalFormatting sqref="G32:G37">
    <cfRule type="containsText" dxfId="221" priority="16" operator="containsText" text="No tiene">
      <formula>NOT(ISERROR(SEARCH("No tiene",G32)))</formula>
    </cfRule>
    <cfRule type="containsText" dxfId="220" priority="17" operator="containsText" text="Si tiene">
      <formula>NOT(ISERROR(SEARCH("Si tiene",G32)))</formula>
    </cfRule>
  </conditionalFormatting>
  <conditionalFormatting sqref="H5:I10">
    <cfRule type="containsText" dxfId="219" priority="40" operator="containsText" text="No cumple">
      <formula>NOT(ISERROR(SEARCH("No cumple",H5)))</formula>
    </cfRule>
    <cfRule type="containsText" dxfId="218" priority="41" operator="containsText" text="Cumple">
      <formula>NOT(ISERROR(SEARCH("Cumple",H5)))</formula>
    </cfRule>
  </conditionalFormatting>
  <conditionalFormatting sqref="H23:I28">
    <cfRule type="containsText" dxfId="217" priority="1" operator="containsText" text="No cumple">
      <formula>NOT(ISERROR(SEARCH("No cumple",H23)))</formula>
    </cfRule>
    <cfRule type="containsText" dxfId="216" priority="2" operator="containsText" text="Cumple">
      <formula>NOT(ISERROR(SEARCH("Cumple",H23)))</formula>
    </cfRule>
  </conditionalFormatting>
  <dataValidations count="2">
    <dataValidation type="list" allowBlank="1" showInputMessage="1" showErrorMessage="1" sqref="F5:F10 E14:E19 E23:E28 E32:E37" xr:uid="{2C14D245-F3C3-4FB8-B8F3-58E6D2BC8F29}">
      <formula1>"SI,NO"</formula1>
    </dataValidation>
    <dataValidation type="list" allowBlank="1" showInputMessage="1" showErrorMessage="1" sqref="E5:F10 E14:E19 E23:G28 E32:E37" xr:uid="{10C0234E-B248-4538-AD43-8E1D839F8B2C}">
      <formula1>"No tiene,Si tiene"</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E0F6-DCE0-41A0-A9B1-922FEEC37240}">
  <dimension ref="A1:W70"/>
  <sheetViews>
    <sheetView showGridLines="0" zoomScaleNormal="100" zoomScalePageLayoutView="80" workbookViewId="0">
      <selection activeCell="B20" sqref="B20"/>
    </sheetView>
  </sheetViews>
  <sheetFormatPr defaultColWidth="8.7109375" defaultRowHeight="12.75"/>
  <cols>
    <col min="1" max="1" width="5.28515625" customWidth="1"/>
    <col min="2" max="2" width="32" customWidth="1"/>
    <col min="3" max="3" width="74.7109375" customWidth="1"/>
    <col min="4" max="4" width="26.5703125" customWidth="1"/>
    <col min="5" max="5" width="16.42578125" customWidth="1"/>
    <col min="6" max="6" width="14.7109375" customWidth="1"/>
    <col min="7" max="7" width="16.7109375" customWidth="1"/>
    <col min="8" max="9" width="12.5703125" customWidth="1"/>
    <col min="10" max="10" width="14.7109375" hidden="1" customWidth="1"/>
    <col min="11" max="11" width="10.42578125" hidden="1" customWidth="1"/>
    <col min="12" max="12" width="11.28515625" hidden="1" customWidth="1"/>
    <col min="13" max="13" width="8.7109375" customWidth="1"/>
    <col min="14" max="14" width="11" customWidth="1"/>
    <col min="15" max="15" width="11.28515625" customWidth="1"/>
    <col min="16" max="16" width="14.7109375" customWidth="1"/>
    <col min="18" max="18" width="12.7109375" bestFit="1" customWidth="1"/>
    <col min="19" max="19" width="10.5703125" bestFit="1" customWidth="1"/>
    <col min="24" max="24" width="11.7109375" customWidth="1"/>
  </cols>
  <sheetData>
    <row r="1" spans="1:23" s="117" customFormat="1" ht="26.85" customHeight="1">
      <c r="A1" s="115" t="s">
        <v>652</v>
      </c>
      <c r="B1" s="116" t="s">
        <v>653</v>
      </c>
      <c r="C1" s="116"/>
      <c r="D1" s="116" t="s">
        <v>4</v>
      </c>
      <c r="E1" s="116"/>
      <c r="F1" s="116" t="s">
        <v>5</v>
      </c>
      <c r="G1" s="116"/>
      <c r="H1" s="116"/>
      <c r="I1" s="116"/>
    </row>
    <row r="2" spans="1:23" ht="13.5" thickBot="1"/>
    <row r="3" spans="1:23" ht="26.25" thickBot="1">
      <c r="B3" s="271" t="s">
        <v>654</v>
      </c>
      <c r="C3" s="272"/>
      <c r="D3" s="272"/>
      <c r="E3" s="272"/>
      <c r="F3" s="272"/>
      <c r="G3" s="273"/>
      <c r="J3" s="637" t="s">
        <v>655</v>
      </c>
      <c r="P3" s="637"/>
      <c r="U3" s="637"/>
    </row>
    <row r="4" spans="1:23" ht="26.25" thickBot="1">
      <c r="B4" s="277" t="s">
        <v>656</v>
      </c>
      <c r="C4" s="49" t="s">
        <v>657</v>
      </c>
      <c r="D4" s="49" t="s">
        <v>658</v>
      </c>
      <c r="E4" s="49" t="s">
        <v>659</v>
      </c>
      <c r="F4" s="49" t="s">
        <v>660</v>
      </c>
      <c r="G4" s="50" t="s">
        <v>661</v>
      </c>
      <c r="I4" s="1492" t="s">
        <v>662</v>
      </c>
      <c r="J4" s="1492"/>
      <c r="K4" s="1492"/>
      <c r="L4" s="1492"/>
      <c r="M4" s="1492"/>
      <c r="P4" s="639"/>
      <c r="Q4" s="13"/>
      <c r="R4" s="640"/>
      <c r="U4" s="639"/>
      <c r="V4" s="13"/>
      <c r="W4" s="640"/>
    </row>
    <row r="5" spans="1:23">
      <c r="B5" s="294"/>
      <c r="C5" s="619"/>
      <c r="D5" s="480"/>
      <c r="E5" s="647"/>
      <c r="F5" s="735" t="str">
        <f>IFERROR(1*(E5/$E$15),"Completar datos")</f>
        <v>Completar datos</v>
      </c>
      <c r="G5" s="650"/>
      <c r="H5" s="734"/>
      <c r="J5" s="628">
        <f t="shared" ref="J5:J10" si="0">10^(0.1*G5)</f>
        <v>1</v>
      </c>
      <c r="K5" s="629">
        <f t="shared" ref="K5:K10" si="1">E5/J5</f>
        <v>0</v>
      </c>
      <c r="L5" s="630"/>
      <c r="P5" s="641"/>
      <c r="Q5" s="642"/>
      <c r="R5" s="643"/>
      <c r="U5" s="641"/>
      <c r="V5" s="642"/>
      <c r="W5" s="643"/>
    </row>
    <row r="6" spans="1:23">
      <c r="B6" s="295"/>
      <c r="C6" s="620"/>
      <c r="D6" s="482"/>
      <c r="E6" s="648"/>
      <c r="F6" s="736" t="str">
        <f t="shared" ref="F6:F10" si="2">IFERROR(1*(E6/$E$15),"Completar datos")</f>
        <v>Completar datos</v>
      </c>
      <c r="G6" s="632"/>
      <c r="H6" s="733"/>
      <c r="J6" s="628">
        <f t="shared" si="0"/>
        <v>1</v>
      </c>
      <c r="K6" s="629">
        <f t="shared" si="1"/>
        <v>0</v>
      </c>
      <c r="L6" s="630"/>
      <c r="P6" s="641"/>
      <c r="Q6" s="642"/>
      <c r="R6" s="643"/>
      <c r="U6" s="641"/>
      <c r="V6" s="642"/>
      <c r="W6" s="643"/>
    </row>
    <row r="7" spans="1:23">
      <c r="B7" s="295"/>
      <c r="C7" s="620"/>
      <c r="D7" s="482"/>
      <c r="E7" s="648"/>
      <c r="F7" s="736" t="str">
        <f t="shared" si="2"/>
        <v>Completar datos</v>
      </c>
      <c r="G7" s="632"/>
      <c r="J7" s="628">
        <f t="shared" si="0"/>
        <v>1</v>
      </c>
      <c r="K7" s="629">
        <f t="shared" si="1"/>
        <v>0</v>
      </c>
      <c r="L7" s="630"/>
      <c r="P7" s="641"/>
      <c r="Q7" s="642"/>
      <c r="R7" s="643"/>
      <c r="U7" s="641"/>
      <c r="V7" s="642"/>
      <c r="W7" s="643"/>
    </row>
    <row r="8" spans="1:23">
      <c r="B8" s="295"/>
      <c r="C8" s="620"/>
      <c r="D8" s="482"/>
      <c r="E8" s="648"/>
      <c r="F8" s="736" t="str">
        <f t="shared" si="2"/>
        <v>Completar datos</v>
      </c>
      <c r="G8" s="632"/>
      <c r="J8" s="628">
        <f t="shared" si="0"/>
        <v>1</v>
      </c>
      <c r="K8" s="629">
        <f t="shared" si="1"/>
        <v>0</v>
      </c>
      <c r="L8" s="630"/>
      <c r="P8" s="641"/>
      <c r="Q8" s="642"/>
      <c r="R8" s="643"/>
      <c r="U8" s="641"/>
      <c r="V8" s="642"/>
      <c r="W8" s="643"/>
    </row>
    <row r="9" spans="1:23">
      <c r="B9" s="295"/>
      <c r="C9" s="620"/>
      <c r="D9" s="482"/>
      <c r="E9" s="648"/>
      <c r="F9" s="736" t="str">
        <f t="shared" si="2"/>
        <v>Completar datos</v>
      </c>
      <c r="G9" s="632"/>
      <c r="J9" s="628">
        <f t="shared" si="0"/>
        <v>1</v>
      </c>
      <c r="K9" s="629">
        <f t="shared" si="1"/>
        <v>0</v>
      </c>
      <c r="L9" s="630"/>
      <c r="P9" s="641"/>
      <c r="Q9" s="642"/>
      <c r="R9" s="643"/>
      <c r="U9" s="641"/>
      <c r="V9" s="642"/>
      <c r="W9" s="643"/>
    </row>
    <row r="10" spans="1:23" ht="13.5" thickBot="1">
      <c r="B10" s="296"/>
      <c r="C10" s="620"/>
      <c r="D10" s="484"/>
      <c r="E10" s="649"/>
      <c r="F10" s="957" t="str">
        <f t="shared" si="2"/>
        <v>Completar datos</v>
      </c>
      <c r="G10" s="633"/>
      <c r="J10" s="628">
        <f t="shared" si="0"/>
        <v>1</v>
      </c>
      <c r="K10" s="629">
        <f t="shared" si="1"/>
        <v>0</v>
      </c>
      <c r="L10" s="630"/>
      <c r="P10" s="641"/>
      <c r="Q10" s="642"/>
      <c r="R10" s="643"/>
      <c r="U10" s="641"/>
      <c r="V10" s="642"/>
      <c r="W10" s="643"/>
    </row>
    <row r="11" spans="1:23" ht="26.25" thickBot="1">
      <c r="B11" s="151" t="s">
        <v>663</v>
      </c>
      <c r="C11" s="58" t="s">
        <v>657</v>
      </c>
      <c r="D11" s="58" t="s">
        <v>658</v>
      </c>
      <c r="E11" s="58" t="s">
        <v>659</v>
      </c>
      <c r="F11" s="58" t="s">
        <v>660</v>
      </c>
      <c r="G11" s="50" t="s">
        <v>661</v>
      </c>
      <c r="I11" s="1492" t="s">
        <v>664</v>
      </c>
      <c r="J11" s="1492"/>
      <c r="K11" s="1492"/>
      <c r="L11" s="1492"/>
      <c r="M11" s="1492"/>
      <c r="Q11" s="626"/>
      <c r="V11" s="626"/>
    </row>
    <row r="12" spans="1:23">
      <c r="B12" s="294"/>
      <c r="C12" s="289"/>
      <c r="D12" s="276"/>
      <c r="E12" s="647"/>
      <c r="F12" s="292" t="str">
        <f>IFERROR(1*(E12/$E$15),"Completar datos")</f>
        <v>Completar datos</v>
      </c>
      <c r="G12" s="650"/>
      <c r="J12" s="628">
        <f>10^(0.1*G12)</f>
        <v>1</v>
      </c>
      <c r="K12" s="638">
        <f>E12/J12</f>
        <v>0</v>
      </c>
      <c r="L12" s="630"/>
      <c r="P12" s="641"/>
      <c r="Q12" s="642"/>
      <c r="R12" s="643"/>
      <c r="U12" s="641"/>
      <c r="V12" s="642"/>
      <c r="W12" s="643"/>
    </row>
    <row r="13" spans="1:23">
      <c r="B13" s="295"/>
      <c r="C13" s="290"/>
      <c r="D13" s="78"/>
      <c r="E13" s="648"/>
      <c r="F13" s="293" t="str">
        <f t="shared" ref="F13:F14" si="3">IFERROR(1*(E13/$E$15),"Completar datos")</f>
        <v>Completar datos</v>
      </c>
      <c r="G13" s="632"/>
    </row>
    <row r="14" spans="1:23" ht="13.5" thickBot="1">
      <c r="B14" s="296"/>
      <c r="C14" s="291"/>
      <c r="D14" s="79"/>
      <c r="E14" s="649"/>
      <c r="F14" s="958" t="str">
        <f t="shared" si="3"/>
        <v>Completar datos</v>
      </c>
      <c r="G14" s="633"/>
      <c r="Q14" s="644"/>
      <c r="V14" s="644"/>
    </row>
    <row r="15" spans="1:23" ht="29.1" customHeight="1" thickBot="1">
      <c r="B15" s="622" t="s">
        <v>665</v>
      </c>
      <c r="C15" s="623" t="s">
        <v>666</v>
      </c>
      <c r="D15" s="624" t="s">
        <v>667</v>
      </c>
      <c r="E15" s="625">
        <f>SUM(E5:E10)</f>
        <v>0</v>
      </c>
      <c r="F15" s="959">
        <f>SUM(F5:F10)</f>
        <v>0</v>
      </c>
      <c r="G15" s="621" t="str">
        <f>IFERROR((G5*F5)+(G6*F6)+(G7*F7)+(G8*F8)+(G9*F9)+(G10*F10),"Completar datos")</f>
        <v>Completar datos</v>
      </c>
      <c r="I15" s="733"/>
      <c r="J15" s="636"/>
      <c r="K15" s="634"/>
      <c r="L15" s="635"/>
      <c r="Q15" s="645"/>
      <c r="R15" s="646"/>
      <c r="V15" s="645"/>
      <c r="W15" s="646"/>
    </row>
    <row r="16" spans="1:23" ht="29.1" customHeight="1" thickBot="1">
      <c r="I16" s="733"/>
      <c r="J16" s="636"/>
      <c r="K16" s="1045"/>
      <c r="L16" s="1046"/>
      <c r="Q16" s="645"/>
      <c r="R16" s="646"/>
      <c r="V16" s="645"/>
      <c r="W16" s="646"/>
    </row>
    <row r="17" spans="2:23" ht="18.95" customHeight="1" thickBot="1">
      <c r="B17" s="1493" t="s">
        <v>668</v>
      </c>
      <c r="C17" s="1494"/>
      <c r="D17" s="1494"/>
      <c r="E17" s="1494"/>
      <c r="F17" s="1494"/>
      <c r="G17" s="1495"/>
      <c r="I17" s="733"/>
      <c r="J17" s="636"/>
      <c r="K17" s="1045"/>
      <c r="L17" s="1046"/>
      <c r="Q17" s="645"/>
      <c r="R17" s="646"/>
      <c r="V17" s="645"/>
      <c r="W17" s="646"/>
    </row>
    <row r="18" spans="2:23" ht="29.1" customHeight="1" thickBot="1">
      <c r="B18" s="151" t="s">
        <v>669</v>
      </c>
      <c r="C18" s="58" t="s">
        <v>657</v>
      </c>
      <c r="D18" s="58" t="s">
        <v>658</v>
      </c>
      <c r="E18" s="58" t="s">
        <v>670</v>
      </c>
      <c r="F18" s="50" t="s">
        <v>661</v>
      </c>
      <c r="G18" s="50" t="s">
        <v>177</v>
      </c>
      <c r="I18" s="1492" t="s">
        <v>671</v>
      </c>
      <c r="J18" s="1492"/>
      <c r="K18" s="1492"/>
      <c r="L18" s="1492"/>
      <c r="M18" s="1492"/>
      <c r="Q18" s="645"/>
      <c r="R18" s="646"/>
      <c r="V18" s="645"/>
      <c r="W18" s="646"/>
    </row>
    <row r="19" spans="2:23" ht="17.45" customHeight="1">
      <c r="B19" s="1047"/>
      <c r="C19" s="1048"/>
      <c r="D19" s="1049"/>
      <c r="E19" s="1050"/>
      <c r="F19" s="1051"/>
      <c r="G19" s="990" t="str">
        <f>IF(F19=0,"Completar datos",IF(F19&gt;=55,"Cumple","No cumple"))</f>
        <v>Completar datos</v>
      </c>
      <c r="I19" s="733"/>
      <c r="J19" s="636"/>
      <c r="K19" s="1045"/>
      <c r="L19" s="1046"/>
      <c r="Q19" s="645"/>
      <c r="R19" s="646"/>
      <c r="V19" s="645"/>
      <c r="W19" s="646"/>
    </row>
    <row r="20" spans="2:23" ht="17.45" customHeight="1">
      <c r="B20" s="1052"/>
      <c r="C20" s="1053"/>
      <c r="D20" s="77"/>
      <c r="E20" s="1054"/>
      <c r="F20" s="1055"/>
      <c r="G20" s="45" t="str">
        <f t="shared" ref="G20:G23" si="4">IF(F20=0,"Completar datos",IF(F20&gt;=55,"Cumple","No cumple"))</f>
        <v>Completar datos</v>
      </c>
      <c r="I20" s="733"/>
      <c r="J20" s="636"/>
      <c r="K20" s="1045"/>
      <c r="L20" s="1046"/>
      <c r="Q20" s="645"/>
      <c r="R20" s="646"/>
      <c r="V20" s="645"/>
      <c r="W20" s="646"/>
    </row>
    <row r="21" spans="2:23" ht="17.45" customHeight="1">
      <c r="B21" s="1052"/>
      <c r="C21" s="1053"/>
      <c r="D21" s="77"/>
      <c r="E21" s="1054"/>
      <c r="F21" s="1055"/>
      <c r="G21" s="45" t="str">
        <f t="shared" si="4"/>
        <v>Completar datos</v>
      </c>
      <c r="I21" s="733"/>
      <c r="J21" s="636"/>
      <c r="K21" s="1045"/>
      <c r="L21" s="1046"/>
      <c r="Q21" s="645"/>
      <c r="R21" s="646"/>
      <c r="V21" s="645"/>
      <c r="W21" s="646"/>
    </row>
    <row r="22" spans="2:23" ht="17.45" customHeight="1">
      <c r="B22" s="295"/>
      <c r="C22" s="290"/>
      <c r="D22" s="78"/>
      <c r="E22" s="648"/>
      <c r="F22" s="1056"/>
      <c r="G22" s="45" t="str">
        <f t="shared" si="4"/>
        <v>Completar datos</v>
      </c>
      <c r="I22" s="733"/>
      <c r="J22" s="636"/>
      <c r="K22" s="1045"/>
      <c r="L22" s="1046"/>
      <c r="Q22" s="645"/>
      <c r="R22" s="646"/>
      <c r="V22" s="645"/>
      <c r="W22" s="646"/>
    </row>
    <row r="23" spans="2:23" ht="17.45" customHeight="1" thickBot="1">
      <c r="B23" s="296"/>
      <c r="C23" s="291"/>
      <c r="D23" s="79"/>
      <c r="E23" s="649"/>
      <c r="F23" s="1057"/>
      <c r="G23" s="993" t="str">
        <f t="shared" si="4"/>
        <v>Completar datos</v>
      </c>
      <c r="I23" s="733"/>
      <c r="J23" s="636"/>
      <c r="K23" s="1045"/>
      <c r="L23" s="1046"/>
      <c r="Q23" s="645"/>
      <c r="R23" s="646"/>
      <c r="V23" s="645"/>
      <c r="W23" s="646"/>
    </row>
    <row r="24" spans="2:23" ht="13.5" thickBot="1">
      <c r="Q24" s="14"/>
      <c r="R24" s="14"/>
      <c r="S24" s="14"/>
      <c r="T24" s="14"/>
      <c r="U24" s="14"/>
      <c r="V24" s="14"/>
      <c r="W24" s="14"/>
    </row>
    <row r="25" spans="2:23" ht="26.25" thickBot="1">
      <c r="B25" s="271" t="s">
        <v>672</v>
      </c>
      <c r="C25" s="272"/>
      <c r="D25" s="272"/>
      <c r="E25" s="273"/>
    </row>
    <row r="26" spans="2:23" ht="26.25" thickBot="1">
      <c r="B26" s="277" t="s">
        <v>673</v>
      </c>
      <c r="C26" s="49" t="s">
        <v>657</v>
      </c>
      <c r="D26" s="49" t="s">
        <v>658</v>
      </c>
      <c r="E26" s="50" t="s">
        <v>674</v>
      </c>
    </row>
    <row r="27" spans="2:23">
      <c r="B27" s="294"/>
      <c r="C27" s="276"/>
      <c r="D27" s="276"/>
      <c r="E27" s="650"/>
    </row>
    <row r="28" spans="2:23">
      <c r="B28" s="295"/>
      <c r="C28" s="78"/>
      <c r="D28" s="78"/>
      <c r="E28" s="632"/>
    </row>
    <row r="29" spans="2:23">
      <c r="B29" s="295"/>
      <c r="C29" s="78"/>
      <c r="D29" s="78"/>
      <c r="E29" s="632"/>
      <c r="F29" s="293"/>
    </row>
    <row r="30" spans="2:23" ht="13.5" thickBot="1">
      <c r="B30" s="296"/>
      <c r="C30" s="79"/>
      <c r="D30" s="79"/>
      <c r="E30" s="633"/>
      <c r="F30" s="293"/>
    </row>
    <row r="32" spans="2:23" ht="13.5" thickBot="1"/>
    <row r="33" spans="2:6" ht="13.5" thickBot="1">
      <c r="B33" s="271" t="s">
        <v>675</v>
      </c>
      <c r="C33" s="272"/>
      <c r="D33" s="273"/>
    </row>
    <row r="34" spans="2:6" ht="13.5" thickBot="1">
      <c r="B34" s="277" t="s">
        <v>676</v>
      </c>
      <c r="C34" s="49" t="s">
        <v>677</v>
      </c>
      <c r="D34" s="50" t="s">
        <v>678</v>
      </c>
    </row>
    <row r="35" spans="2:6" ht="13.5" thickBot="1">
      <c r="B35" s="875" t="s">
        <v>679</v>
      </c>
      <c r="C35" s="276"/>
      <c r="D35" s="631"/>
    </row>
    <row r="36" spans="2:6">
      <c r="B36" s="876" t="s">
        <v>680</v>
      </c>
      <c r="C36" s="78"/>
      <c r="D36" s="632"/>
    </row>
    <row r="37" spans="2:6">
      <c r="B37" s="295"/>
      <c r="C37" s="78"/>
      <c r="D37" s="632"/>
      <c r="F37" s="293"/>
    </row>
    <row r="38" spans="2:6" ht="13.5" thickBot="1">
      <c r="B38" s="296"/>
      <c r="C38" s="79"/>
      <c r="D38" s="633"/>
      <c r="F38" s="293"/>
    </row>
    <row r="66" spans="10:13">
      <c r="J66" t="s">
        <v>255</v>
      </c>
      <c r="L66" t="s">
        <v>681</v>
      </c>
    </row>
    <row r="67" spans="10:13">
      <c r="J67" t="s">
        <v>682</v>
      </c>
      <c r="L67" t="s">
        <v>683</v>
      </c>
    </row>
    <row r="69" spans="10:13">
      <c r="M69" s="200" t="s">
        <v>684</v>
      </c>
    </row>
    <row r="70" spans="10:13">
      <c r="J70" t="s">
        <v>685</v>
      </c>
      <c r="M70" s="200"/>
    </row>
  </sheetData>
  <sheetProtection algorithmName="SHA-512" hashValue="9H/AdOMqp/OXfvgYJB6/i+USutyVQSDpqhWzdjmw4iRZD1nQGTvw0ttCVUVwoaoasvAcLeMVc+IzFfF8wxFe8Q==" saltValue="1X6pqC0R0xCN+t4aMwkxyg==" spinCount="100000" sheet="1" objects="1" scenarios="1"/>
  <mergeCells count="4">
    <mergeCell ref="I11:M11"/>
    <mergeCell ref="I4:M4"/>
    <mergeCell ref="B17:G17"/>
    <mergeCell ref="I18:M18"/>
  </mergeCells>
  <conditionalFormatting sqref="D35:D38">
    <cfRule type="cellIs" dxfId="215" priority="18" operator="equal">
      <formula>"Ausente"</formula>
    </cfRule>
    <cfRule type="cellIs" dxfId="214" priority="19" operator="equal">
      <formula>"Presente"</formula>
    </cfRule>
  </conditionalFormatting>
  <conditionalFormatting sqref="E19:E23">
    <cfRule type="containsText" dxfId="213" priority="3" operator="containsText" text="No tiene">
      <formula>NOT(ISERROR(SEARCH("No tiene",E19)))</formula>
    </cfRule>
    <cfRule type="containsText" dxfId="212" priority="4" operator="containsText" text="Si tiene">
      <formula>NOT(ISERROR(SEARCH("Si tiene",E19)))</formula>
    </cfRule>
  </conditionalFormatting>
  <conditionalFormatting sqref="E27:E30">
    <cfRule type="cellIs" dxfId="211" priority="35" operator="lessThan">
      <formula>60</formula>
    </cfRule>
    <cfRule type="cellIs" dxfId="210" priority="36" operator="equal">
      <formula>60</formula>
    </cfRule>
    <cfRule type="cellIs" dxfId="209" priority="37" operator="greaterThan">
      <formula>60</formula>
    </cfRule>
  </conditionalFormatting>
  <conditionalFormatting sqref="E12:F14">
    <cfRule type="containsText" dxfId="208" priority="27" operator="containsText" text="No tiene">
      <formula>NOT(ISERROR(SEARCH("No tiene",E12)))</formula>
    </cfRule>
    <cfRule type="containsText" dxfId="207" priority="28" operator="containsText" text="Si tiene">
      <formula>NOT(ISERROR(SEARCH("Si tiene",E12)))</formula>
    </cfRule>
  </conditionalFormatting>
  <conditionalFormatting sqref="F12:F14">
    <cfRule type="containsText" dxfId="206" priority="26" operator="containsText" text="SI">
      <formula>NOT(ISERROR(SEARCH("SI",F12)))</formula>
    </cfRule>
  </conditionalFormatting>
  <conditionalFormatting sqref="F35:F38">
    <cfRule type="containsText" dxfId="205" priority="32" operator="containsText" text="SI">
      <formula>NOT(ISERROR(SEARCH("SI",F35)))</formula>
    </cfRule>
    <cfRule type="containsText" dxfId="204" priority="33" operator="containsText" text="No tiene">
      <formula>NOT(ISERROR(SEARCH("No tiene",F35)))</formula>
    </cfRule>
    <cfRule type="containsText" dxfId="203" priority="34" operator="containsText" text="Si tiene">
      <formula>NOT(ISERROR(SEARCH("Si tiene",F35)))</formula>
    </cfRule>
  </conditionalFormatting>
  <conditionalFormatting sqref="G15">
    <cfRule type="cellIs" dxfId="202" priority="8" operator="greaterThan">
      <formula>"Completar datos"</formula>
    </cfRule>
    <cfRule type="cellIs" dxfId="201" priority="21" operator="lessThan">
      <formula>45</formula>
    </cfRule>
    <cfRule type="cellIs" dxfId="200" priority="22" operator="equal">
      <formula>45</formula>
    </cfRule>
    <cfRule type="cellIs" dxfId="199" priority="23" operator="greaterThan">
      <formula>45</formula>
    </cfRule>
  </conditionalFormatting>
  <conditionalFormatting sqref="G19:G23">
    <cfRule type="containsText" dxfId="198" priority="1" operator="containsText" text="No cumple">
      <formula>NOT(ISERROR(SEARCH("No cumple",G19)))</formula>
    </cfRule>
    <cfRule type="containsText" dxfId="197" priority="2" operator="containsText" text="Cumple">
      <formula>NOT(ISERROR(SEARCH("Cumple",G19)))</formula>
    </cfRule>
  </conditionalFormatting>
  <conditionalFormatting sqref="J15:J17 J19:J23">
    <cfRule type="cellIs" dxfId="196" priority="5" operator="lessThan">
      <formula>45</formula>
    </cfRule>
    <cfRule type="cellIs" dxfId="195" priority="6" operator="equal">
      <formula>45</formula>
    </cfRule>
    <cfRule type="cellIs" dxfId="194" priority="7" operator="greaterThan">
      <formula>45</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C5ECD23-F328-40A2-8E93-6061A44AA76E}">
          <x14:formula1>
            <xm:f>Datos_A7!$A$59:$A$60</xm:f>
          </x14:formula1>
          <xm:sqref>D35:D38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BBEBB-A8A3-497F-99F3-D21209E2AD60}">
  <dimension ref="A1:L9"/>
  <sheetViews>
    <sheetView showGridLines="0" zoomScaleNormal="100" zoomScalePageLayoutView="80" workbookViewId="0">
      <selection activeCell="C18" sqref="C18"/>
    </sheetView>
  </sheetViews>
  <sheetFormatPr defaultColWidth="8.7109375" defaultRowHeight="12.75"/>
  <cols>
    <col min="1" max="1" width="5.28515625" customWidth="1"/>
    <col min="2" max="2" width="24.5703125" customWidth="1"/>
    <col min="3" max="3" width="23.7109375" customWidth="1"/>
    <col min="4" max="4" width="20" customWidth="1"/>
  </cols>
  <sheetData>
    <row r="1" spans="1:12" s="116" customFormat="1" ht="26.85" customHeight="1">
      <c r="A1" s="115" t="s">
        <v>2</v>
      </c>
      <c r="B1" s="116" t="s">
        <v>3</v>
      </c>
      <c r="E1" s="116" t="s">
        <v>4</v>
      </c>
      <c r="I1" s="116" t="s">
        <v>5</v>
      </c>
    </row>
    <row r="2" spans="1:12" s="106" customFormat="1" ht="15" thickBot="1">
      <c r="A2" s="105"/>
    </row>
    <row r="3" spans="1:12" ht="13.5" thickBot="1">
      <c r="C3" s="68" t="s">
        <v>6</v>
      </c>
      <c r="D3" s="67" t="s">
        <v>7</v>
      </c>
    </row>
    <row r="4" spans="1:12" ht="14.1" customHeight="1" thickBot="1">
      <c r="B4" s="2" t="s">
        <v>8</v>
      </c>
      <c r="C4" s="71"/>
      <c r="D4" s="3" t="s">
        <v>9</v>
      </c>
      <c r="F4" s="1059" t="s">
        <v>10</v>
      </c>
      <c r="G4" s="1059"/>
      <c r="H4" s="1059"/>
      <c r="I4" s="1059"/>
      <c r="J4" s="1059"/>
      <c r="K4" s="1059"/>
      <c r="L4" s="1059"/>
    </row>
    <row r="5" spans="1:12" ht="13.5" thickBot="1">
      <c r="C5" s="1"/>
      <c r="D5" s="1"/>
      <c r="F5" s="1059"/>
      <c r="G5" s="1059"/>
      <c r="H5" s="1059"/>
      <c r="I5" s="1059"/>
      <c r="J5" s="1059"/>
      <c r="K5" s="1059"/>
      <c r="L5" s="1059"/>
    </row>
    <row r="6" spans="1:12" ht="13.5" thickBot="1">
      <c r="B6" s="2" t="s">
        <v>11</v>
      </c>
      <c r="C6" s="71"/>
      <c r="D6" s="3" t="s">
        <v>12</v>
      </c>
      <c r="F6" s="1059"/>
      <c r="G6" s="1059"/>
      <c r="H6" s="1059"/>
      <c r="I6" s="1059"/>
      <c r="J6" s="1059"/>
      <c r="K6" s="1059"/>
      <c r="L6" s="1059"/>
    </row>
    <row r="7" spans="1:12">
      <c r="F7" s="1059"/>
      <c r="G7" s="1059"/>
      <c r="H7" s="1059"/>
      <c r="I7" s="1059"/>
      <c r="J7" s="1059"/>
      <c r="K7" s="1059"/>
      <c r="L7" s="1059"/>
    </row>
    <row r="8" spans="1:12">
      <c r="F8" s="1059"/>
      <c r="G8" s="1059"/>
      <c r="H8" s="1059"/>
      <c r="I8" s="1059"/>
      <c r="J8" s="1059"/>
      <c r="K8" s="1059"/>
      <c r="L8" s="1059"/>
    </row>
    <row r="9" spans="1:12">
      <c r="F9" s="1059"/>
      <c r="G9" s="1059"/>
      <c r="H9" s="1059"/>
      <c r="I9" s="1059"/>
      <c r="J9" s="1059"/>
      <c r="K9" s="1059"/>
      <c r="L9" s="1059"/>
    </row>
  </sheetData>
  <sheetProtection algorithmName="SHA-512" hashValue="FldZ0PR9/vhsq9GlKyPu+aRR80zGPQU+gi59eoXR7AU9oJYjVkw0jqPXUzoAKujw5KeLjddgbvTNFthT+gCe7w==" saltValue="kj9QjYCMqEbwzSB4uJEG7w==" spinCount="100000" sheet="1" objects="1" scenarios="1"/>
  <mergeCells count="1">
    <mergeCell ref="F4:L9"/>
  </mergeCells>
  <dataValidations count="1">
    <dataValidation type="list" allowBlank="1" showInputMessage="1" showErrorMessage="1" sqref="C6" xr:uid="{F054E3D4-E4D0-46A8-B9B6-692BFE95A2DF}">
      <formula1>"Vivienda,Oficinas,C.Educacional"</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6F79F-CE5A-44AA-98C1-6D8140A42157}">
  <dimension ref="A1:G23"/>
  <sheetViews>
    <sheetView showGridLines="0" zoomScaleNormal="100" zoomScalePageLayoutView="80" workbookViewId="0">
      <selection activeCell="C18" sqref="C18"/>
    </sheetView>
  </sheetViews>
  <sheetFormatPr defaultColWidth="8.7109375" defaultRowHeight="12.75"/>
  <cols>
    <col min="1" max="1" width="5.28515625" customWidth="1"/>
    <col min="2" max="2" width="28.28515625" customWidth="1"/>
    <col min="3" max="4" width="26.28515625" customWidth="1"/>
    <col min="5" max="5" width="19" customWidth="1"/>
    <col min="6" max="6" width="16.42578125" customWidth="1"/>
    <col min="7" max="7" width="15.7109375" customWidth="1"/>
    <col min="8" max="8" width="24.28515625" customWidth="1"/>
    <col min="9" max="9" width="15.28515625" customWidth="1"/>
    <col min="10" max="10" width="10.28515625" customWidth="1"/>
  </cols>
  <sheetData>
    <row r="1" spans="1:7" s="117" customFormat="1" ht="26.85" customHeight="1">
      <c r="A1" s="115" t="s">
        <v>686</v>
      </c>
      <c r="B1" s="116" t="s">
        <v>687</v>
      </c>
      <c r="C1" s="116"/>
      <c r="D1" s="116"/>
      <c r="E1" s="116" t="s">
        <v>4</v>
      </c>
      <c r="F1" s="116"/>
      <c r="G1" s="116" t="s">
        <v>5</v>
      </c>
    </row>
    <row r="2" spans="1:7" ht="13.5" thickBot="1"/>
    <row r="3" spans="1:7" ht="39" thickBot="1">
      <c r="B3" s="151" t="s">
        <v>620</v>
      </c>
      <c r="C3" s="58" t="s">
        <v>621</v>
      </c>
      <c r="D3" s="58" t="s">
        <v>622</v>
      </c>
      <c r="E3" s="58" t="s">
        <v>688</v>
      </c>
      <c r="F3" s="58" t="s">
        <v>689</v>
      </c>
      <c r="G3" s="50" t="s">
        <v>628</v>
      </c>
    </row>
    <row r="4" spans="1:7">
      <c r="B4" s="477"/>
      <c r="C4" s="289"/>
      <c r="D4" s="289"/>
      <c r="E4" s="276"/>
      <c r="F4" s="480"/>
      <c r="G4" s="481"/>
    </row>
    <row r="5" spans="1:7">
      <c r="B5" s="478"/>
      <c r="C5" s="290"/>
      <c r="D5" s="290"/>
      <c r="E5" s="78"/>
      <c r="F5" s="482"/>
      <c r="G5" s="483"/>
    </row>
    <row r="6" spans="1:7">
      <c r="B6" s="478"/>
      <c r="C6" s="290"/>
      <c r="D6" s="290"/>
      <c r="E6" s="78"/>
      <c r="F6" s="482"/>
      <c r="G6" s="483"/>
    </row>
    <row r="7" spans="1:7">
      <c r="B7" s="478"/>
      <c r="C7" s="290"/>
      <c r="D7" s="290"/>
      <c r="E7" s="78"/>
      <c r="F7" s="482"/>
      <c r="G7" s="483"/>
    </row>
    <row r="8" spans="1:7">
      <c r="B8" s="478"/>
      <c r="C8" s="290"/>
      <c r="D8" s="290"/>
      <c r="E8" s="78"/>
      <c r="F8" s="482"/>
      <c r="G8" s="483"/>
    </row>
    <row r="9" spans="1:7">
      <c r="B9" s="478"/>
      <c r="C9" s="290"/>
      <c r="D9" s="290"/>
      <c r="E9" s="78"/>
      <c r="F9" s="482"/>
      <c r="G9" s="483"/>
    </row>
    <row r="10" spans="1:7">
      <c r="B10" s="478"/>
      <c r="C10" s="290"/>
      <c r="D10" s="290"/>
      <c r="E10" s="78"/>
      <c r="F10" s="482"/>
      <c r="G10" s="483"/>
    </row>
    <row r="11" spans="1:7">
      <c r="B11" s="478"/>
      <c r="C11" s="290"/>
      <c r="D11" s="290"/>
      <c r="E11" s="78"/>
      <c r="F11" s="482"/>
      <c r="G11" s="483"/>
    </row>
    <row r="12" spans="1:7">
      <c r="B12" s="478"/>
      <c r="C12" s="290"/>
      <c r="D12" s="290"/>
      <c r="E12" s="78"/>
      <c r="F12" s="482"/>
      <c r="G12" s="483"/>
    </row>
    <row r="13" spans="1:7">
      <c r="B13" s="478"/>
      <c r="C13" s="290"/>
      <c r="D13" s="290"/>
      <c r="E13" s="78"/>
      <c r="F13" s="482"/>
      <c r="G13" s="483"/>
    </row>
    <row r="14" spans="1:7">
      <c r="B14" s="478"/>
      <c r="C14" s="290"/>
      <c r="D14" s="290"/>
      <c r="E14" s="78"/>
      <c r="F14" s="482"/>
      <c r="G14" s="483"/>
    </row>
    <row r="15" spans="1:7">
      <c r="B15" s="478"/>
      <c r="C15" s="290"/>
      <c r="D15" s="290"/>
      <c r="E15" s="78"/>
      <c r="F15" s="482"/>
      <c r="G15" s="483"/>
    </row>
    <row r="16" spans="1:7">
      <c r="B16" s="478"/>
      <c r="C16" s="290"/>
      <c r="D16" s="290"/>
      <c r="E16" s="78"/>
      <c r="F16" s="482"/>
      <c r="G16" s="483"/>
    </row>
    <row r="17" spans="2:7">
      <c r="B17" s="478"/>
      <c r="C17" s="290"/>
      <c r="D17" s="290"/>
      <c r="E17" s="78"/>
      <c r="F17" s="482"/>
      <c r="G17" s="483"/>
    </row>
    <row r="18" spans="2:7">
      <c r="B18" s="478"/>
      <c r="C18" s="290"/>
      <c r="D18" s="290"/>
      <c r="E18" s="78"/>
      <c r="F18" s="482"/>
      <c r="G18" s="483"/>
    </row>
    <row r="19" spans="2:7">
      <c r="B19" s="478"/>
      <c r="C19" s="290"/>
      <c r="D19" s="290"/>
      <c r="E19" s="78"/>
      <c r="F19" s="482"/>
      <c r="G19" s="483"/>
    </row>
    <row r="20" spans="2:7">
      <c r="B20" s="478"/>
      <c r="C20" s="290"/>
      <c r="D20" s="290"/>
      <c r="E20" s="78"/>
      <c r="F20" s="482"/>
      <c r="G20" s="483"/>
    </row>
    <row r="21" spans="2:7">
      <c r="B21" s="478"/>
      <c r="C21" s="290"/>
      <c r="D21" s="290"/>
      <c r="E21" s="78"/>
      <c r="F21" s="482"/>
      <c r="G21" s="483"/>
    </row>
    <row r="22" spans="2:7">
      <c r="B22" s="478"/>
      <c r="C22" s="290"/>
      <c r="D22" s="290"/>
      <c r="E22" s="78"/>
      <c r="F22" s="482"/>
      <c r="G22" s="483"/>
    </row>
    <row r="23" spans="2:7" ht="13.5" thickBot="1">
      <c r="B23" s="479"/>
      <c r="C23" s="291"/>
      <c r="D23" s="291"/>
      <c r="E23" s="79"/>
      <c r="F23" s="484"/>
      <c r="G23" s="485"/>
    </row>
  </sheetData>
  <sheetProtection algorithmName="SHA-512" hashValue="ZrpcCM8Fev+uQHgedvscPuvG1SnUJcsUpmLXU7cxBFym5mmsAoF5gQJj5qDVpcC3IXDVxPnADuDAvmq6yKIf1A==" saltValue="NuImLl6HTxo5Kf9yHdSQRQ==" spinCount="100000" sheet="1" objects="1" scenarios="1"/>
  <conditionalFormatting sqref="E4:E23">
    <cfRule type="containsText" dxfId="193" priority="1" operator="containsText" text="SI">
      <formula>NOT(ISERROR(SEARCH("SI",E4)))</formula>
    </cfRule>
    <cfRule type="containsText" dxfId="192" priority="3" operator="containsText" text="Si tiene">
      <formula>NOT(ISERROR(SEARCH("Si tiene",E4)))</formula>
    </cfRule>
  </conditionalFormatting>
  <conditionalFormatting sqref="E4:F23">
    <cfRule type="containsText" dxfId="191" priority="2" operator="containsText" text="No tiene">
      <formula>NOT(ISERROR(SEARCH("No tiene",E4)))</formula>
    </cfRule>
  </conditionalFormatting>
  <conditionalFormatting sqref="F4:F23">
    <cfRule type="containsText" dxfId="190" priority="5" operator="containsText" text="Tiene">
      <formula>NOT(ISERROR(SEARCH("Tiene",F4)))</formula>
    </cfRule>
  </conditionalFormatting>
  <conditionalFormatting sqref="G4:G23">
    <cfRule type="containsText" dxfId="189" priority="6" operator="containsText" text="Listo">
      <formula>NOT(ISERROR(SEARCH("Listo",G4)))</formula>
    </cfRule>
    <cfRule type="containsText" dxfId="188" priority="7" operator="containsText" text="Pendiente">
      <formula>NOT(ISERROR(SEARCH("Pendiente",G4)))</formula>
    </cfRule>
  </conditionalFormatting>
  <conditionalFormatting sqref="H4:I23">
    <cfRule type="containsText" dxfId="187" priority="13" operator="containsText" text="No tiene">
      <formula>NOT(ISERROR(SEARCH("No tiene",H4)))</formula>
    </cfRule>
    <cfRule type="containsText" dxfId="186" priority="14" operator="containsText" text="Tiene">
      <formula>NOT(ISERROR(SEARCH("Tiene",H4)))</formula>
    </cfRule>
  </conditionalFormatting>
  <conditionalFormatting sqref="J4:J23">
    <cfRule type="containsText" dxfId="185" priority="11" operator="containsText" text="Listo">
      <formula>NOT(ISERROR(SEARCH("Listo",J4)))</formula>
    </cfRule>
    <cfRule type="containsText" dxfId="184" priority="12" operator="containsText" text="Pendiente">
      <formula>NOT(ISERROR(SEARCH("Pendiente",J4)))</formula>
    </cfRule>
  </conditionalFormatting>
  <dataValidations count="3">
    <dataValidation type="list" allowBlank="1" showInputMessage="1" showErrorMessage="1" sqref="J21:J23 G4:G23" xr:uid="{8EAD343C-7851-4DD9-856E-6DDEB554B58C}">
      <formula1>"Listo,Pendiente"</formula1>
    </dataValidation>
    <dataValidation type="list" allowBlank="1" showInputMessage="1" showErrorMessage="1" sqref="F4:F23 H21:I23" xr:uid="{BB60747F-CC96-4BDE-98B6-6128224407E9}">
      <formula1>"Tiene,No tiene"</formula1>
    </dataValidation>
    <dataValidation type="list" allowBlank="1" showInputMessage="1" showErrorMessage="1" sqref="E4:E23" xr:uid="{C5C06E6A-01E0-47B6-81D6-21D7268B1471}">
      <formula1>"SI,NO"</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5597-D3BE-4992-AAEC-963F9C2CE18D}">
  <dimension ref="B1:T143"/>
  <sheetViews>
    <sheetView showGridLines="0" zoomScaleNormal="100" zoomScalePageLayoutView="80" workbookViewId="0">
      <selection activeCell="D64" sqref="D64"/>
    </sheetView>
  </sheetViews>
  <sheetFormatPr defaultColWidth="11.7109375" defaultRowHeight="12.75"/>
  <cols>
    <col min="1" max="1" width="2.28515625" style="157" customWidth="1"/>
    <col min="2" max="2" width="14.7109375" style="157" customWidth="1"/>
    <col min="3" max="3" width="37.7109375" customWidth="1"/>
    <col min="4" max="4" width="28.42578125" style="157" customWidth="1"/>
    <col min="5" max="5" width="26.7109375" style="157" customWidth="1"/>
    <col min="6" max="6" width="4.28515625" style="157" customWidth="1"/>
    <col min="7" max="7" width="23.5703125" style="157" hidden="1" customWidth="1"/>
    <col min="8" max="8" width="25.7109375" style="157" hidden="1" customWidth="1"/>
    <col min="9" max="9" width="11.7109375" style="157" customWidth="1"/>
    <col min="10" max="10" width="53.7109375" style="157" customWidth="1"/>
    <col min="11" max="11" width="28.7109375" style="157" customWidth="1"/>
    <col min="12" max="12" width="15.28515625" style="157" customWidth="1"/>
    <col min="13" max="13" width="10.7109375" style="157" customWidth="1"/>
    <col min="14" max="14" width="8" style="157" customWidth="1"/>
    <col min="15" max="15" width="3.28515625" style="157" customWidth="1"/>
    <col min="16" max="16" width="17.28515625" style="157" hidden="1" customWidth="1"/>
    <col min="17" max="17" width="17.7109375" style="157" hidden="1" customWidth="1"/>
    <col min="18" max="18" width="18.42578125" style="157" hidden="1" customWidth="1"/>
    <col min="19" max="19" width="13.42578125" style="157" hidden="1" customWidth="1"/>
    <col min="20" max="20" width="8.7109375" style="157" hidden="1" customWidth="1"/>
    <col min="21" max="21" width="11.7109375" style="157" customWidth="1"/>
    <col min="22" max="16384" width="11.7109375" style="157"/>
  </cols>
  <sheetData>
    <row r="1" spans="2:14" s="322" customFormat="1" ht="26.85" customHeight="1">
      <c r="B1" s="323" t="s">
        <v>690</v>
      </c>
      <c r="C1" s="116" t="s">
        <v>691</v>
      </c>
      <c r="D1" s="324"/>
      <c r="E1" s="116" t="s">
        <v>4</v>
      </c>
      <c r="F1" s="324"/>
      <c r="G1" s="324"/>
      <c r="H1" s="324"/>
      <c r="I1" s="116" t="s">
        <v>5</v>
      </c>
      <c r="J1" s="324"/>
    </row>
    <row r="2" spans="2:14" ht="13.5" thickBot="1">
      <c r="K2" s="391"/>
      <c r="L2" s="391"/>
      <c r="M2" s="391"/>
    </row>
    <row r="3" spans="2:14" ht="13.5" customHeight="1" thickBot="1">
      <c r="C3" s="2" t="s">
        <v>692</v>
      </c>
      <c r="D3" s="71"/>
      <c r="E3" s="442" t="s">
        <v>693</v>
      </c>
      <c r="F3" s="325"/>
      <c r="G3" s="325"/>
      <c r="I3" s="325"/>
      <c r="J3" s="591" t="s">
        <v>694</v>
      </c>
      <c r="K3" s="591"/>
      <c r="L3" s="437"/>
      <c r="M3" s="437"/>
      <c r="N3" s="437"/>
    </row>
    <row r="4" spans="2:14" ht="13.5" thickBot="1">
      <c r="C4" s="2" t="s">
        <v>8</v>
      </c>
      <c r="D4" s="441">
        <f>'A1'!C4</f>
        <v>0</v>
      </c>
      <c r="E4" s="443"/>
      <c r="F4" s="325"/>
      <c r="G4" s="325"/>
      <c r="I4" s="325"/>
      <c r="J4" s="434"/>
      <c r="K4" s="435"/>
      <c r="L4" s="435"/>
      <c r="M4" s="435"/>
      <c r="N4" s="434"/>
    </row>
    <row r="5" spans="2:14" ht="13.5" thickBot="1">
      <c r="G5" s="325"/>
      <c r="H5" s="325"/>
      <c r="I5" s="325"/>
      <c r="J5" s="434"/>
      <c r="K5" s="436"/>
      <c r="L5" s="436"/>
      <c r="M5" s="436"/>
      <c r="N5" s="434"/>
    </row>
    <row r="6" spans="2:14" ht="29.85" customHeight="1" thickBot="1">
      <c r="C6" s="581" t="s">
        <v>695</v>
      </c>
      <c r="D6" s="580"/>
      <c r="E6" s="444" t="str" cm="1">
        <f t="array" ref="E6">IFERROR(_xlfn.IFS(D6=Colector.solar[[#Headers],[Colector.solar]],"Opción 2",D6=Sistema.Fotovoltaico[[#Headers],[Sistema.Fotovoltaico]],"Opción 1",D6=Otros.sistemas[[#Headers],[Otros.sistemas]],"Opción 3",D6=Otros.sistemas[[#Headers],[Mixto]],"Opción 4"),"Desplegar energético")</f>
        <v>Desplegar energético</v>
      </c>
      <c r="J6" s="1511" t="s">
        <v>696</v>
      </c>
      <c r="K6" s="1511"/>
      <c r="L6" s="437"/>
      <c r="M6" s="437"/>
      <c r="N6" s="437"/>
    </row>
    <row r="7" spans="2:14" ht="13.35" customHeight="1" thickBot="1">
      <c r="C7" s="65" t="s">
        <v>697</v>
      </c>
      <c r="D7" s="258"/>
      <c r="E7" s="871" t="str" cm="1">
        <f t="array" ref="E7">IFERROR(_xlfn.IFS(E6="Opción 1","-",E6="Opción 2","-",E6="Opción 3","-",E6="Opción 4","Seleccionar solo Opciones FV"),"Completar datos")</f>
        <v>Completar datos</v>
      </c>
      <c r="J7" s="591" t="s">
        <v>698</v>
      </c>
      <c r="K7" s="591"/>
      <c r="L7" s="437"/>
      <c r="M7" s="437"/>
      <c r="N7" s="437"/>
    </row>
    <row r="8" spans="2:14" ht="13.35" hidden="1" customHeight="1" thickBot="1">
      <c r="C8" s="65" t="s">
        <v>699</v>
      </c>
      <c r="D8" s="729" t="s">
        <v>700</v>
      </c>
      <c r="E8" s="444" t="str">
        <f>IF(E6="Opción 4","-","Habilitado solo para Opción 4")</f>
        <v>Habilitado solo para Opción 4</v>
      </c>
      <c r="J8" s="591" t="s">
        <v>701</v>
      </c>
      <c r="K8" s="591"/>
      <c r="L8" s="437"/>
      <c r="M8" s="437"/>
      <c r="N8" s="437"/>
    </row>
    <row r="9" spans="2:14" ht="13.5" hidden="1" thickBot="1">
      <c r="C9" s="65" t="s">
        <v>702</v>
      </c>
      <c r="D9" s="445" t="str" cm="1">
        <f t="array" ref="D9">IFERROR(_xlfn.IFS(D7=$P$135,"Requiere Compensación",D7=$P$136,"Sin Compensación",D7=$P$130,"Requiere Compensación",D7=$P$131,"Sin Compensación"),"Justificación mediante Memoria de Cálculo")</f>
        <v>Justificación mediante Memoria de Cálculo</v>
      </c>
      <c r="E9" s="433"/>
      <c r="J9" s="1512" t="s">
        <v>703</v>
      </c>
      <c r="K9" s="1512"/>
      <c r="L9" s="332"/>
      <c r="M9" s="332"/>
    </row>
    <row r="10" spans="2:14" s="391" customFormat="1">
      <c r="C10" s="461"/>
      <c r="D10" s="259"/>
      <c r="E10" s="259"/>
      <c r="K10" s="398"/>
      <c r="L10" s="398"/>
      <c r="M10" s="398"/>
    </row>
    <row r="11" spans="2:14" s="322" customFormat="1" ht="16.5" customHeight="1">
      <c r="B11" s="323"/>
      <c r="C11" s="116" t="s">
        <v>704</v>
      </c>
      <c r="D11" s="324"/>
      <c r="E11" s="116"/>
      <c r="F11" s="324"/>
      <c r="G11" s="324"/>
      <c r="H11" s="324"/>
      <c r="I11" s="116"/>
      <c r="J11" s="324"/>
    </row>
    <row r="12" spans="2:14" ht="22.35" customHeight="1" thickBot="1">
      <c r="C12" s="463"/>
      <c r="D12" s="394"/>
      <c r="E12" s="394"/>
      <c r="K12" s="331"/>
      <c r="L12" s="331"/>
      <c r="M12" s="331"/>
    </row>
    <row r="13" spans="2:14" ht="22.35" customHeight="1" thickBot="1">
      <c r="B13" s="1496" t="s">
        <v>705</v>
      </c>
      <c r="C13" s="464" t="s">
        <v>706</v>
      </c>
      <c r="J13" s="591" t="s">
        <v>705</v>
      </c>
      <c r="K13" s="591"/>
      <c r="L13" s="437"/>
      <c r="M13" s="437"/>
      <c r="N13" s="437"/>
    </row>
    <row r="14" spans="2:14" ht="13.5" customHeight="1" thickBot="1">
      <c r="B14" s="1497"/>
      <c r="C14" s="2" t="s">
        <v>707</v>
      </c>
      <c r="D14" s="476"/>
      <c r="E14" s="446" t="str" cm="1">
        <f t="array" ref="E14">IFERROR(_xlfn.IFS(E6="Opción 2","-",E6="Opción 1","m2",E6="Opción 3","-",E6="Opción 4","-"),"Desplegar energético")</f>
        <v>Desplegar energético</v>
      </c>
      <c r="J14" s="591" t="s">
        <v>708</v>
      </c>
      <c r="K14" s="591"/>
      <c r="L14" s="437"/>
      <c r="M14" s="437"/>
      <c r="N14" s="437"/>
    </row>
    <row r="15" spans="2:14" ht="13.35" customHeight="1" thickBot="1">
      <c r="B15" s="1497"/>
      <c r="C15" s="2" t="s">
        <v>709</v>
      </c>
      <c r="D15" s="71"/>
      <c r="E15" s="446" t="str" cm="1">
        <f t="array" ref="E15">IFERROR(_xlfn.IFS(E6="Opción 2","-",E6="Opción 1","unidad",E6="Opción 3","-",E6="Opción 4","-"),"Desplegar energético")</f>
        <v>Desplegar energético</v>
      </c>
      <c r="J15" s="591" t="s">
        <v>710</v>
      </c>
      <c r="K15" s="591"/>
      <c r="L15" s="437"/>
      <c r="M15" s="437"/>
      <c r="N15" s="437"/>
    </row>
    <row r="16" spans="2:14" ht="13.5" thickBot="1">
      <c r="B16" s="1497"/>
      <c r="C16" s="2" t="s">
        <v>711</v>
      </c>
      <c r="D16" s="439">
        <f>D14*D15</f>
        <v>0</v>
      </c>
      <c r="E16" s="447" t="str" cm="1">
        <f t="array" ref="E16">IFERROR(_xlfn.IFS(E6="Opción 2","-",E6="Opción 1","m2",E6="Opción 3","-",E6="Opción 4","-"),"Desplegar energético")</f>
        <v>Desplegar energético</v>
      </c>
      <c r="K16" s="331"/>
      <c r="L16" s="331"/>
      <c r="M16" s="331"/>
    </row>
    <row r="17" spans="2:14" ht="26.65" customHeight="1" thickBot="1">
      <c r="B17" s="1497"/>
      <c r="C17" s="2" t="s">
        <v>712</v>
      </c>
      <c r="D17" s="961" t="s">
        <v>713</v>
      </c>
      <c r="E17" s="446" t="str" cm="1">
        <f t="array" ref="E17">IFERROR(IF(E6=B13,_xlfn.IFS(D17=Q109,"Aplica Excepción 50%",D17=P109,"N/A Excepción "),"-"),"Completar")</f>
        <v>-</v>
      </c>
      <c r="J17" s="591" t="s">
        <v>714</v>
      </c>
      <c r="K17" s="591"/>
      <c r="L17" s="437"/>
      <c r="M17" s="437"/>
      <c r="N17" s="437"/>
    </row>
    <row r="18" spans="2:14" s="391" customFormat="1" ht="13.35" customHeight="1" thickBot="1">
      <c r="B18" s="1497"/>
      <c r="C18" s="465"/>
      <c r="D18" s="260"/>
      <c r="E18" s="395"/>
      <c r="K18" s="398"/>
      <c r="L18" s="398"/>
      <c r="M18" s="398"/>
    </row>
    <row r="19" spans="2:14" s="332" customFormat="1" ht="25.35" customHeight="1" thickBot="1">
      <c r="B19" s="1497"/>
      <c r="C19" s="466" t="s">
        <v>715</v>
      </c>
      <c r="D19" s="448" t="str" cm="1">
        <f t="array" ref="D19">IFERROR(_xlfn.IFS($D$7=$P$123,$D$4*$Q$123,$D$7=$P$124,$D$4*$Q$124,$D$6=Colector.solar[[#Headers],[Colector.solar]],"N/A",$D$6=Colector.solar[[#Headers],[Colector.solar]],"N/A"),"N/A")</f>
        <v>N/A</v>
      </c>
      <c r="E19" s="449" t="str" cm="1">
        <f t="array" ref="E19">IFERROR(_xlfn.IFS($E$6="Opción 2","N/A",$E$6="Opción 1","kWp",$E$6="Opción 3","N/A",$E$6="Opción 4","N/A"),"Desplegar energético")</f>
        <v>Desplegar energético</v>
      </c>
      <c r="F19" s="331"/>
    </row>
    <row r="20" spans="2:14" ht="13.35" customHeight="1">
      <c r="B20" s="1497"/>
      <c r="F20" s="325"/>
    </row>
    <row r="21" spans="2:14" ht="13.5" thickBot="1">
      <c r="B21" s="1497"/>
      <c r="C21" s="462" t="s">
        <v>716</v>
      </c>
      <c r="D21" s="393"/>
      <c r="E21" s="393"/>
      <c r="F21" s="325"/>
    </row>
    <row r="22" spans="2:14" ht="13.35" customHeight="1" thickBot="1">
      <c r="B22" s="1497"/>
      <c r="C22" s="440" t="s">
        <v>717</v>
      </c>
      <c r="D22" s="71"/>
      <c r="E22" s="449" t="str" cm="1">
        <f t="array" ref="E22">IFERROR(_xlfn.IFS(E6="Opción 2","-",E6="Opción 1","kWp",E6="Opción 3","-",E6="Opción 4","-"),"Desplegar energético")</f>
        <v>Desplegar energético</v>
      </c>
      <c r="F22" s="325"/>
      <c r="J22" s="591" t="s">
        <v>718</v>
      </c>
      <c r="K22" s="591"/>
      <c r="L22" s="437"/>
      <c r="M22" s="437"/>
      <c r="N22" s="437"/>
    </row>
    <row r="23" spans="2:14" ht="13.5" thickBot="1">
      <c r="B23" s="1497"/>
      <c r="C23" s="450" t="s">
        <v>719</v>
      </c>
      <c r="D23" s="449">
        <f>$D$22*$D$15</f>
        <v>0</v>
      </c>
      <c r="E23" s="449" t="str" cm="1">
        <f t="array" ref="E23">IFERROR(_xlfn.IFS(E6="Opción 2","-",E6="Opción 1","kWp",E6="Opción 3","-",E6="Opción 4","-"),"Desplegar energético")</f>
        <v>Desplegar energético</v>
      </c>
      <c r="F23" s="397"/>
    </row>
    <row r="24" spans="2:14" ht="13.5" thickBot="1">
      <c r="B24" s="1497"/>
      <c r="C24" s="351"/>
      <c r="D24" s="398"/>
      <c r="E24" s="398"/>
      <c r="F24" s="397"/>
    </row>
    <row r="25" spans="2:14" s="399" customFormat="1" ht="13.35" customHeight="1" thickBot="1">
      <c r="B25" s="1497"/>
      <c r="C25" s="1513" t="s">
        <v>720</v>
      </c>
      <c r="D25" s="1515" t="s">
        <v>721</v>
      </c>
      <c r="E25" s="1516"/>
      <c r="N25" s="332"/>
    </row>
    <row r="26" spans="2:14" s="391" customFormat="1" ht="22.35" customHeight="1" thickBot="1">
      <c r="B26" s="1497"/>
      <c r="C26" s="1514"/>
      <c r="D26" s="451" t="s">
        <v>722</v>
      </c>
      <c r="E26" s="452" t="str" cm="1">
        <f t="array" ref="E26">IF(E6=B13,_xlfn.IFS(D23=$D$19,"Cumple",D23&gt;$D$19,"Cumple",D23=0,"N/A",D23&lt;$D$19,"No cumple",D26=50%,"Cumple"),"N/A")</f>
        <v>N/A</v>
      </c>
      <c r="H26" s="259" t="s">
        <v>723</v>
      </c>
      <c r="J26" s="1511" t="s">
        <v>724</v>
      </c>
      <c r="K26" s="1511"/>
      <c r="L26" s="1511"/>
      <c r="M26" s="1511"/>
      <c r="N26" s="1511"/>
    </row>
    <row r="27" spans="2:14" s="391" customFormat="1" ht="27" customHeight="1" thickBot="1">
      <c r="B27" s="1497"/>
      <c r="C27" s="1514"/>
      <c r="D27" s="787" t="str" cm="1">
        <f t="array" ref="D27">IFERROR(_xlfn.IFS(D17=Q109,"Aplica Excepción 50%",D17=P109,"N/A Excepción "),"Completar tipo edificación y energéticos")</f>
        <v>Aplica Excepción 50%</v>
      </c>
      <c r="E27" s="455" t="str" cm="1">
        <f t="array" ref="E27">IFERROR(IF(E6=B13,IF(D17=P109,"N/A",_xlfn.IFS(H27=50%,"Cumple",H27&gt;50%,"Cumple",H27&lt;50%,"No cumple")),"N/A"),"Completar tipo de edificación y energéticos")</f>
        <v>N/A</v>
      </c>
      <c r="H27" s="401" t="e">
        <f>D16/D3</f>
        <v>#DIV/0!</v>
      </c>
      <c r="J27" s="1511"/>
      <c r="K27" s="1511"/>
      <c r="L27" s="1511"/>
      <c r="M27" s="1511"/>
      <c r="N27" s="1511"/>
    </row>
    <row r="28" spans="2:14" s="391" customFormat="1" ht="13.35" customHeight="1" thickBot="1">
      <c r="B28" s="1497"/>
      <c r="C28" s="351"/>
      <c r="D28" s="398"/>
      <c r="E28" s="398"/>
      <c r="H28" s="259"/>
    </row>
    <row r="29" spans="2:14" s="391" customFormat="1" ht="25.35" customHeight="1" thickTop="1" thickBot="1">
      <c r="B29" s="1497"/>
      <c r="C29" s="1517" t="s">
        <v>725</v>
      </c>
      <c r="D29" s="1507" t="s">
        <v>726</v>
      </c>
      <c r="E29" s="1508"/>
      <c r="K29" s="438"/>
    </row>
    <row r="30" spans="2:14" s="391" customFormat="1" ht="25.35" customHeight="1" thickTop="1" thickBot="1">
      <c r="B30" s="1498"/>
      <c r="C30" s="1517"/>
      <c r="D30" s="1518" t="str" cm="1">
        <f t="array" ref="D30">IF(E6=B13,IFERROR(_xlfn.IFS(E26="No",ROUNDUP((D19/D22)-$D$15,0)),0),"N/A")</f>
        <v>N/A</v>
      </c>
      <c r="E30" s="1519"/>
    </row>
    <row r="31" spans="2:14" s="391" customFormat="1" ht="12.6" customHeight="1">
      <c r="C31" s="467"/>
    </row>
    <row r="32" spans="2:14" s="391" customFormat="1" ht="12.6" customHeight="1" thickBot="1">
      <c r="C32" s="467"/>
    </row>
    <row r="33" spans="2:14" s="391" customFormat="1" ht="18.600000000000001" customHeight="1" thickBot="1">
      <c r="B33" s="1496" t="s">
        <v>727</v>
      </c>
      <c r="C33" s="464" t="s">
        <v>728</v>
      </c>
      <c r="J33" s="591" t="s">
        <v>727</v>
      </c>
      <c r="K33" s="591"/>
      <c r="L33" s="437"/>
      <c r="M33" s="437"/>
      <c r="N33" s="437"/>
    </row>
    <row r="34" spans="2:14" s="391" customFormat="1" ht="12.6" customHeight="1" thickBot="1">
      <c r="B34" s="1497"/>
      <c r="C34" s="2" t="s">
        <v>729</v>
      </c>
      <c r="D34" s="71"/>
      <c r="E34" s="443" t="str" cm="1">
        <f t="array" ref="E34">IFERROR(_xlfn.IFS(E6="Opción 2","m2",E6="Opción 1","-",E6="Opción 3","-",E6="Opción 4","-"),"Desplegar energético")</f>
        <v>Desplegar energético</v>
      </c>
      <c r="J34" s="591" t="s">
        <v>730</v>
      </c>
      <c r="K34" s="591"/>
      <c r="L34" s="437"/>
      <c r="M34" s="437"/>
      <c r="N34" s="437"/>
    </row>
    <row r="35" spans="2:14" s="391" customFormat="1" ht="12.6" customHeight="1" thickBot="1">
      <c r="B35" s="1497"/>
      <c r="C35" s="2" t="s">
        <v>709</v>
      </c>
      <c r="D35" s="71"/>
      <c r="E35" s="443" t="str" cm="1">
        <f t="array" ref="E35">IFERROR(_xlfn.IFS(E6="Opción 2","unidad",E6="Opción 1","-",E6="Opción 3","-",E6="Opción 4","-"),"Desplegar energético")</f>
        <v>Desplegar energético</v>
      </c>
      <c r="J35" s="591" t="s">
        <v>731</v>
      </c>
      <c r="K35" s="591"/>
      <c r="L35" s="437"/>
      <c r="M35" s="437"/>
      <c r="N35" s="437"/>
    </row>
    <row r="36" spans="2:14" s="391" customFormat="1" ht="12.6" customHeight="1" thickBot="1">
      <c r="B36" s="1497"/>
      <c r="C36" s="465"/>
      <c r="D36" s="260"/>
      <c r="E36" s="395"/>
    </row>
    <row r="37" spans="2:14" s="399" customFormat="1" ht="25.35" customHeight="1" thickBot="1">
      <c r="B37" s="1497"/>
      <c r="C37" s="468" t="s">
        <v>732</v>
      </c>
      <c r="D37" s="453" t="str" cm="1">
        <f t="array" ref="D37">IF(E6=B33,IFERROR(_xlfn.IFS(D7=$P$130,D4*$Q$130,D7=$P$131,D4*$Q$131,D6=Sistema.Fotovoltaico[[#Headers],[Sistema.Fotovoltaico]],"N/A"),"Actualizar Energetico Cocina o N/A"),"N/A")</f>
        <v>N/A</v>
      </c>
      <c r="E37" s="449" t="str" cm="1">
        <f t="array" ref="E37">IFERROR(_xlfn.IFS(E6="Opción 2","m2",E6="Opción 1","N/A",E6="Opción 3","N/A",E6="Opción 4","N/A"),"Desplegar energético")</f>
        <v>Desplegar energético</v>
      </c>
      <c r="G37" s="391"/>
    </row>
    <row r="38" spans="2:14" s="332" customFormat="1" ht="12.6" customHeight="1">
      <c r="B38" s="1497"/>
      <c r="C38" s="469"/>
      <c r="D38" s="402"/>
      <c r="E38" s="403"/>
      <c r="G38" s="391"/>
    </row>
    <row r="39" spans="2:14" s="399" customFormat="1" ht="13.5" thickBot="1">
      <c r="B39" s="1497"/>
      <c r="C39" s="462" t="s">
        <v>733</v>
      </c>
      <c r="D39" s="393"/>
      <c r="E39" s="393"/>
      <c r="G39" s="391"/>
    </row>
    <row r="40" spans="2:14" s="399" customFormat="1" ht="13.5" customHeight="1" thickBot="1">
      <c r="B40" s="1497"/>
      <c r="C40" s="440" t="s">
        <v>734</v>
      </c>
      <c r="D40" s="449" t="str">
        <f>IF(E6=B33,D34,"-")</f>
        <v>-</v>
      </c>
      <c r="E40" s="454" t="str" cm="1">
        <f t="array" ref="E40">IFERROR(_xlfn.IFS(E6="Opción 2","m2",E6="Opción 1","-",E6="Opción 3","-",E6="Opción 4","-"),"Desplegar energético")</f>
        <v>Desplegar energético</v>
      </c>
      <c r="G40" s="391"/>
    </row>
    <row r="41" spans="2:14" s="391" customFormat="1" ht="13.35" customHeight="1" thickBot="1">
      <c r="B41" s="1497"/>
      <c r="C41" s="440" t="s">
        <v>735</v>
      </c>
      <c r="D41" s="449" t="str">
        <f>IF(E6=B33,$D$35*$D$34,"-")</f>
        <v>-</v>
      </c>
      <c r="E41" s="454" t="str" cm="1">
        <f t="array" ref="E41">IFERROR(_xlfn.IFS(E6="Opción 2","m2",E6="Opción 1","-",E6="Opción 3","-",E6="Opción 4","-"),"Desplegar energético")</f>
        <v>Desplegar energético</v>
      </c>
    </row>
    <row r="42" spans="2:14" s="391" customFormat="1" ht="13.35" customHeight="1" thickBot="1">
      <c r="B42" s="1497"/>
      <c r="C42" s="470"/>
      <c r="D42" s="405"/>
      <c r="E42" s="404"/>
    </row>
    <row r="43" spans="2:14" s="391" customFormat="1" ht="25.35" customHeight="1" thickBot="1">
      <c r="B43" s="1497"/>
      <c r="C43" s="1505" t="s">
        <v>735</v>
      </c>
      <c r="D43" s="1507" t="s">
        <v>177</v>
      </c>
      <c r="E43" s="1508"/>
    </row>
    <row r="44" spans="2:14" s="391" customFormat="1" ht="25.35" customHeight="1" thickBot="1">
      <c r="B44" s="1498"/>
      <c r="C44" s="1506"/>
      <c r="D44" s="1518" t="str" cm="1">
        <f t="array" ref="D44">IF(E6=B33,_xlfn.IFS(D41&gt;D37,"Cumple",D41=D37,"Cumple",D41&lt;D37,"No"),"N/A")</f>
        <v>N/A</v>
      </c>
      <c r="E44" s="1519"/>
    </row>
    <row r="45" spans="2:14" s="391" customFormat="1">
      <c r="B45" s="406"/>
      <c r="C45" s="139"/>
      <c r="D45" s="392"/>
      <c r="E45" s="392"/>
      <c r="F45" s="392"/>
      <c r="G45" s="392"/>
      <c r="H45" s="392"/>
    </row>
    <row r="46" spans="2:14" s="391" customFormat="1" ht="13.5" thickBot="1">
      <c r="C46" s="467"/>
    </row>
    <row r="47" spans="2:14" s="391" customFormat="1" ht="18.600000000000001" customHeight="1" thickBot="1">
      <c r="B47" s="1496" t="s">
        <v>736</v>
      </c>
      <c r="C47" s="464" t="s">
        <v>737</v>
      </c>
      <c r="D47" s="1504" t="str" cm="1">
        <f t="array" ref="D47">IFERROR(_xlfn.IFS(E6="Opción 3","Justificación mediante Memoria de Cálculo"),"-")</f>
        <v>-</v>
      </c>
      <c r="E47" s="1504"/>
      <c r="J47" s="591" t="s">
        <v>736</v>
      </c>
      <c r="K47" s="591"/>
      <c r="L47" s="437"/>
      <c r="M47" s="437"/>
      <c r="N47" s="437"/>
    </row>
    <row r="48" spans="2:14" s="391" customFormat="1" ht="12.6" customHeight="1" thickBot="1">
      <c r="B48" s="1497"/>
      <c r="C48" s="466" t="s">
        <v>715</v>
      </c>
      <c r="D48" s="448" t="str" cm="1">
        <f t="array" ref="D48">IFERROR(_xlfn.IFS($D$7=$P$123,$D$4*$Q$123,$D$7=$P$124,$D$4*$Q$124,$D$6=Colector.solar[[#Headers],[Colector.solar]],"N/A",$D$6=Colector.solar[[#Headers],[Colector.solar]],"N/A"),"N/A")</f>
        <v>N/A</v>
      </c>
      <c r="E48" s="449" t="str" cm="1">
        <f t="array" ref="E48">IFERROR(_xlfn.IFS(E6="Opción 2","N/A",E6="Opción 1","N/A",E6="Opción 3","kWp",E6="Opción 4","N/A"),"Desplegar energético")</f>
        <v>Desplegar energético</v>
      </c>
      <c r="J48" s="591"/>
      <c r="K48" s="591"/>
      <c r="L48" s="437"/>
      <c r="M48" s="437"/>
      <c r="N48" s="437"/>
    </row>
    <row r="49" spans="2:15" s="391" customFormat="1" ht="13.5" thickBot="1">
      <c r="B49" s="1497"/>
      <c r="C49" s="462" t="s">
        <v>716</v>
      </c>
      <c r="D49" s="393"/>
      <c r="E49" s="393"/>
      <c r="J49" s="591"/>
      <c r="K49" s="591"/>
      <c r="L49" s="437"/>
      <c r="M49" s="437"/>
      <c r="N49" s="437"/>
    </row>
    <row r="50" spans="2:15" s="391" customFormat="1" ht="13.5" customHeight="1" thickBot="1">
      <c r="B50" s="1497"/>
      <c r="C50" s="440" t="s">
        <v>738</v>
      </c>
      <c r="D50" s="71"/>
      <c r="E50" s="449" t="str" cm="1">
        <f t="array" ref="E50">IFERROR(_xlfn.IFS($E$6="Opción 2","N/A",$E$6="Opción 1","N/A",$E$6="Opción 3","kWp",$E$6="Opción 4","N/A"),"Desplegar energético")</f>
        <v>Desplegar energético</v>
      </c>
      <c r="J50" s="591" t="s">
        <v>739</v>
      </c>
      <c r="K50" s="591"/>
      <c r="L50" s="437"/>
      <c r="M50" s="437"/>
      <c r="N50" s="437"/>
    </row>
    <row r="51" spans="2:15" s="391" customFormat="1" ht="13.5" customHeight="1" thickBot="1">
      <c r="B51" s="1497"/>
      <c r="C51" s="471"/>
      <c r="D51" s="407"/>
      <c r="E51" s="407"/>
    </row>
    <row r="52" spans="2:15" s="391" customFormat="1" ht="25.35" customHeight="1" thickBot="1">
      <c r="B52" s="1497"/>
      <c r="C52" s="1505" t="s">
        <v>740</v>
      </c>
      <c r="D52" s="1507" t="s">
        <v>177</v>
      </c>
      <c r="E52" s="1508"/>
    </row>
    <row r="53" spans="2:15" s="391" customFormat="1" ht="25.35" customHeight="1" thickBot="1">
      <c r="B53" s="1498"/>
      <c r="C53" s="1506"/>
      <c r="D53" s="1518" t="str" cm="1">
        <f t="array" ref="D53">IF(E6=B47,_xlfn.IFS(D50&gt;D48,"Cumple",D50=D48,"Cumple",D50&lt;D48,"No"),"N/A")</f>
        <v>N/A</v>
      </c>
      <c r="E53" s="1519"/>
    </row>
    <row r="54" spans="2:15" s="391" customFormat="1" ht="19.350000000000001" customHeight="1" thickBot="1">
      <c r="B54" s="408"/>
      <c r="C54" s="351"/>
      <c r="D54" s="398"/>
      <c r="E54" s="398"/>
    </row>
    <row r="55" spans="2:15" s="391" customFormat="1" ht="19.350000000000001" customHeight="1" thickBot="1">
      <c r="B55" s="1496" t="s">
        <v>741</v>
      </c>
      <c r="C55" s="464" t="s">
        <v>742</v>
      </c>
      <c r="D55" s="157"/>
      <c r="E55" s="157"/>
      <c r="J55" s="1501" t="s">
        <v>741</v>
      </c>
      <c r="K55" s="1501"/>
    </row>
    <row r="56" spans="2:15" s="391" customFormat="1" ht="19.350000000000001" customHeight="1" thickBot="1">
      <c r="B56" s="1497"/>
      <c r="C56" s="2" t="s">
        <v>707</v>
      </c>
      <c r="D56" s="476"/>
      <c r="E56" s="452" t="str" cm="1">
        <f t="array" ref="E56">IFERROR(_xlfn.IFS(E6="Opción 2","-",E6="Opción 1","-",E6="Opción 3","-",E6="Opción 4","m2"),"Desplegar energético")</f>
        <v>Desplegar energético</v>
      </c>
      <c r="J56" s="1501" t="s">
        <v>708</v>
      </c>
      <c r="K56" s="1501"/>
    </row>
    <row r="57" spans="2:15" s="391" customFormat="1" ht="19.350000000000001" customHeight="1" thickBot="1">
      <c r="B57" s="1497"/>
      <c r="C57" s="2" t="s">
        <v>709</v>
      </c>
      <c r="D57" s="71"/>
      <c r="E57" s="452" t="str" cm="1">
        <f t="array" ref="E57">IFERROR(_xlfn.IFS(E6="Opción 2","-",E6="Opción 1","-",E6="Opción 3","-",E6="Opción 4","Unidad"),"Desplegar energético")</f>
        <v>Desplegar energético</v>
      </c>
      <c r="J57" s="1501" t="s">
        <v>710</v>
      </c>
      <c r="K57" s="1501"/>
      <c r="O57" s="498"/>
    </row>
    <row r="58" spans="2:15" s="391" customFormat="1" ht="19.350000000000001" customHeight="1" thickBot="1">
      <c r="B58" s="1497"/>
      <c r="C58" s="2" t="s">
        <v>711</v>
      </c>
      <c r="D58" s="439">
        <f>D56*D57</f>
        <v>0</v>
      </c>
      <c r="E58" s="452" t="str" cm="1">
        <f t="array" ref="E58">IFERROR(_xlfn.IFS(E6="Opción 2","-",E6="Opción 1","-",E6="Opción 3","-",E6="Opción 4","m2"),"Desplegar energético")</f>
        <v>Desplegar energético</v>
      </c>
      <c r="J58" s="1565"/>
      <c r="K58" s="1565"/>
    </row>
    <row r="59" spans="2:15" s="391" customFormat="1" ht="19.350000000000001" hidden="1" customHeight="1" thickBot="1">
      <c r="B59" s="1497"/>
      <c r="C59" s="2" t="s">
        <v>712</v>
      </c>
      <c r="D59" s="500" t="s">
        <v>743</v>
      </c>
      <c r="E59" s="452" t="e" cm="1">
        <f t="array" ref="E59">_xlfn.IFS(D59=Q109,"Aplica Excepción 50%",D59=P109,"N/A Excepción ")</f>
        <v>#N/A</v>
      </c>
      <c r="G59" s="330" t="s">
        <v>744</v>
      </c>
      <c r="J59" s="1502" t="s">
        <v>714</v>
      </c>
      <c r="K59" s="1502"/>
    </row>
    <row r="60" spans="2:15" s="391" customFormat="1" ht="19.350000000000001" customHeight="1" thickBot="1">
      <c r="B60" s="1497"/>
      <c r="C60" s="465"/>
      <c r="D60" s="260"/>
      <c r="E60" s="395"/>
      <c r="G60" s="579" t="s">
        <v>745</v>
      </c>
      <c r="H60" s="579" t="s">
        <v>745</v>
      </c>
      <c r="J60" s="1566"/>
      <c r="K60" s="1566"/>
    </row>
    <row r="61" spans="2:15" s="391" customFormat="1" ht="19.350000000000001" customHeight="1" thickBot="1">
      <c r="B61" s="1497"/>
      <c r="C61" s="466" t="s">
        <v>715</v>
      </c>
      <c r="D61" s="448" t="str" cm="1">
        <f t="array" ref="D61">IFERROR(_xlfn.IFS($D$7=$P$123,$D$4*$Q$123,$D$7=$P$124,$D$4*$Q$124,$D$6=Colector.solar[[#Headers],[Colector.solar]],"N/A",$D$6=Colector.solar[[#Headers],[Colector.solar]],"N/A"),"N/A")</f>
        <v>N/A</v>
      </c>
      <c r="E61" s="449" t="str" cm="1">
        <f t="array" ref="E61">IFERROR(_xlfn.IFS($E$6="Opción 2","N/A",$E$6="Opción 1","N/A",$E$6="Opción 3","N/A",$E$6="Opción 4","kWp"),"Desplegar energético")</f>
        <v>Desplegar energético</v>
      </c>
      <c r="G61" s="578" t="s">
        <v>746</v>
      </c>
      <c r="J61" s="1503"/>
      <c r="K61" s="1503"/>
    </row>
    <row r="62" spans="2:15" s="391" customFormat="1" ht="19.350000000000001" customHeight="1" thickBot="1">
      <c r="B62" s="1497"/>
      <c r="C62"/>
      <c r="D62" s="157"/>
      <c r="E62" s="157"/>
      <c r="H62" s="259" t="s">
        <v>747</v>
      </c>
      <c r="J62" s="1565"/>
      <c r="K62" s="1565"/>
    </row>
    <row r="63" spans="2:15" s="391" customFormat="1" ht="19.350000000000001" customHeight="1" thickBot="1">
      <c r="B63" s="1497"/>
      <c r="C63" s="462" t="s">
        <v>748</v>
      </c>
      <c r="D63" s="393"/>
      <c r="E63" s="393"/>
      <c r="H63" s="563" t="s">
        <v>749</v>
      </c>
      <c r="J63" s="1565"/>
      <c r="K63" s="1565"/>
    </row>
    <row r="64" spans="2:15" s="391" customFormat="1" ht="19.350000000000001" customHeight="1" thickBot="1">
      <c r="B64" s="1497"/>
      <c r="C64" s="440" t="s">
        <v>750</v>
      </c>
      <c r="D64" s="500"/>
      <c r="E64" s="396" t="str" cm="1">
        <f t="array" ref="E64">IFERROR(_xlfn.IFS($E$6="Opción 2","N/A",$E$6="Opción 1","N/A",$E$6="Opción 3","N/A",$E$6="Opción 4","kWp"),"Desplegar energético")</f>
        <v>Desplegar energético</v>
      </c>
      <c r="G64" s="577">
        <f>D7</f>
        <v>0</v>
      </c>
      <c r="H64" s="564" t="e" cm="1">
        <f t="array" ref="H64">_xlfn.IFS(D7=$P$123,VLOOKUP(D7,Enegerticos.FV[],2,0),D7=$P$124,VLOOKUP(D7,Enegerticos.FV[],2,0))</f>
        <v>#N/A</v>
      </c>
      <c r="J64" s="1501" t="s">
        <v>718</v>
      </c>
      <c r="K64" s="1501"/>
    </row>
    <row r="65" spans="2:13" s="391" customFormat="1" ht="19.350000000000001" customHeight="1" thickBot="1">
      <c r="B65" s="1497"/>
      <c r="C65" s="501" t="s">
        <v>751</v>
      </c>
      <c r="D65" s="592" t="s">
        <v>752</v>
      </c>
      <c r="E65" s="396"/>
      <c r="G65" s="577" t="str">
        <f>D8</f>
        <v>Eléctricidad. CS</v>
      </c>
      <c r="H65" s="564" cm="1">
        <f t="array" ref="H65">_xlfn.IFS(D8=P130,VLOOKUP(D8,P140:R143,2,0),D8=P131,VLOOKUP(D8,P140:R143,2,0))</f>
        <v>0.05</v>
      </c>
      <c r="J65" s="1501" t="s">
        <v>753</v>
      </c>
      <c r="K65" s="1501"/>
    </row>
    <row r="66" spans="2:13" s="391" customFormat="1" ht="19.350000000000001" customHeight="1" thickBot="1">
      <c r="B66" s="1497"/>
      <c r="C66" s="587"/>
      <c r="D66" s="588"/>
      <c r="E66" s="405"/>
      <c r="G66" s="582"/>
      <c r="H66" s="504" t="str" cm="1">
        <f t="array" ref="H66">_xlfn.IFS(D79&gt;D74,"Cumple",D79=D74,"Cumple",D79&lt;D74,"No cumple")</f>
        <v>Cumple</v>
      </c>
    </row>
    <row r="67" spans="2:13" s="391" customFormat="1" ht="19.350000000000001" customHeight="1" thickBot="1">
      <c r="B67" s="1497"/>
      <c r="C67" s="450" t="s">
        <v>754</v>
      </c>
      <c r="D67" s="449" cm="1">
        <f t="array" ref="D67">_xlfn.IFS(D65="Sistema de generación Fotovoltaico",$D$64*$D$57,D65="Otro","-")</f>
        <v>0</v>
      </c>
      <c r="E67" s="449" t="str" cm="1">
        <f t="array" ref="E67">IFERROR(_xlfn.IFS($E$6="Opción 2","N/A",$E$6="Opción 1","N/A",$E$6="Opción 3","N/A",$E$6="Opción 4","kWp"),"Desplegar energético")</f>
        <v>Desplegar energético</v>
      </c>
      <c r="G67" s="583"/>
    </row>
    <row r="68" spans="2:13" s="391" customFormat="1" ht="19.350000000000001" customHeight="1" thickBot="1">
      <c r="B68" s="1497"/>
      <c r="C68" s="440" t="s">
        <v>738</v>
      </c>
      <c r="D68" s="500"/>
      <c r="E68" s="449" t="str" cm="1">
        <f t="array" ref="E68">_xlfn.IFS(D65="Sistema de generación Fotovoltaico","N/A",D65="Otro","kWp")</f>
        <v>N/A</v>
      </c>
      <c r="J68" s="1501" t="s">
        <v>755</v>
      </c>
      <c r="K68" s="1501"/>
    </row>
    <row r="69" spans="2:13" s="391" customFormat="1" ht="20.85" hidden="1" customHeight="1" thickBot="1">
      <c r="B69" s="1497"/>
      <c r="C69" s="1524" t="s">
        <v>720</v>
      </c>
      <c r="D69" s="1526" t="s">
        <v>721</v>
      </c>
      <c r="E69" s="1527"/>
    </row>
    <row r="70" spans="2:13" s="391" customFormat="1" ht="19.350000000000001" hidden="1" customHeight="1" thickBot="1">
      <c r="B70" s="1497"/>
      <c r="C70" s="1525"/>
      <c r="D70" s="505" t="s">
        <v>722</v>
      </c>
      <c r="E70" s="506" t="str" cm="1">
        <f t="array" ref="E70">IF(E46=B54,_xlfn.IFS(D64=$D$19,"Cumple",D64&gt;$D$19,"Cumple",D64=0,"N/A",D64&lt;$D$19,"No",D70=50%,"Cumple"),"N/A")</f>
        <v>N/A</v>
      </c>
      <c r="H70" s="259" t="s">
        <v>723</v>
      </c>
    </row>
    <row r="71" spans="2:13" s="391" customFormat="1" ht="19.350000000000001" hidden="1" customHeight="1" thickBot="1">
      <c r="B71" s="1497"/>
      <c r="C71" s="1525"/>
      <c r="D71" s="451" t="e" cm="1">
        <f t="array" ref="D71">_xlfn.IFS(D59=$Q$109,"Aplica Excepción 50%",D59=$P$109,"N/A Excepción ")</f>
        <v>#N/A</v>
      </c>
      <c r="E71" s="585" t="e" cm="1">
        <f t="array" ref="E71">_xlfn.IFS(H71=50%,"Cumple",H71&gt;50%,"Cumple",H71&lt;50%,"No cumple")</f>
        <v>#DIV/0!</v>
      </c>
      <c r="H71" s="584" t="e">
        <f>D57/$D$3</f>
        <v>#DIV/0!</v>
      </c>
      <c r="J71" s="391" t="s">
        <v>756</v>
      </c>
    </row>
    <row r="72" spans="2:13" s="391" customFormat="1" ht="19.350000000000001" customHeight="1" thickBot="1">
      <c r="B72" s="1497"/>
      <c r="E72" s="586"/>
      <c r="H72" s="562" t="s">
        <v>752</v>
      </c>
    </row>
    <row r="73" spans="2:13" s="391" customFormat="1" ht="19.350000000000001" customHeight="1" thickBot="1">
      <c r="B73" s="1497"/>
      <c r="C73" s="468" t="s">
        <v>757</v>
      </c>
      <c r="D73" s="593" cm="1">
        <f t="array" ref="D73">IFERROR(_xlfn.IFS(D65="Sistema de generación Fotovoltaico",D4-((D67)/H64),D65="Otro",D4-((D68)/H64)),0)</f>
        <v>0</v>
      </c>
      <c r="E73" s="502" t="str" cm="1">
        <f t="array" ref="E73">IFERROR(_xlfn.IFS(E6="Opción 2","-",E6="Opción 1","-",E6="Opción 3","-",E6="Opción 4","m2"),"Desplegar energético")</f>
        <v>Desplegar energético</v>
      </c>
      <c r="G73" s="578" t="s">
        <v>758</v>
      </c>
      <c r="H73" s="562" t="s">
        <v>759</v>
      </c>
    </row>
    <row r="74" spans="2:13" s="391" customFormat="1" ht="30.6" customHeight="1" thickBot="1">
      <c r="B74" s="1497"/>
      <c r="C74" s="468" t="s">
        <v>732</v>
      </c>
      <c r="D74" s="594">
        <f>IFERROR(D73*H65,"Seleccionar solo energético CS celda D8")</f>
        <v>0</v>
      </c>
      <c r="E74" s="449" t="str" cm="1">
        <f t="array" ref="E74">IFERROR(_xlfn.IFS(E6="Opción 2","-",E6="Opción 1","-",E6="Opción 3","-",E6="Opción 4","m2"),"Desplegar energético")</f>
        <v>Desplegar energético</v>
      </c>
      <c r="M74" s="398"/>
    </row>
    <row r="75" spans="2:13" s="391" customFormat="1" ht="16.350000000000001" customHeight="1">
      <c r="B75" s="1497"/>
      <c r="C75" s="351"/>
      <c r="D75" s="503"/>
      <c r="E75" s="503"/>
      <c r="L75" s="398"/>
      <c r="M75" s="398"/>
    </row>
    <row r="76" spans="2:13" ht="19.350000000000001" customHeight="1" thickBot="1">
      <c r="B76" s="1497"/>
      <c r="C76" s="462" t="s">
        <v>760</v>
      </c>
      <c r="D76" s="331"/>
      <c r="E76" s="331"/>
      <c r="L76" s="331"/>
      <c r="M76" s="331"/>
    </row>
    <row r="77" spans="2:13" ht="19.350000000000001" customHeight="1" thickBot="1">
      <c r="B77" s="1497"/>
      <c r="C77" s="499" t="s">
        <v>761</v>
      </c>
      <c r="D77" s="500"/>
      <c r="E77" s="449" t="str" cm="1">
        <f t="array" ref="E77">IFERROR(_xlfn.IFS(E6="Opción 2","-",E6="Opción 1","-",E6="Opción 3","-",E6="Opción 4","m2"),"Desplegar energético")</f>
        <v>Desplegar energético</v>
      </c>
      <c r="J77" s="1501" t="s">
        <v>762</v>
      </c>
      <c r="K77" s="1501"/>
      <c r="L77" s="331"/>
      <c r="M77" s="331"/>
    </row>
    <row r="78" spans="2:13" ht="19.350000000000001" customHeight="1" thickBot="1">
      <c r="B78" s="1497"/>
      <c r="C78" s="499" t="s">
        <v>709</v>
      </c>
      <c r="D78" s="500"/>
      <c r="E78" s="449" t="str" cm="1">
        <f t="array" ref="E78">IFERROR(_xlfn.IFS(E6="Opción 2","-",E6="Opción 1","-",E6="Opción 3","-",E6="Opción 4","Unidad"),"Desplegar energético")</f>
        <v>Desplegar energético</v>
      </c>
      <c r="J78" s="1501" t="s">
        <v>763</v>
      </c>
      <c r="K78" s="1501"/>
      <c r="L78" s="331"/>
      <c r="M78" s="331"/>
    </row>
    <row r="79" spans="2:13" ht="19.350000000000001" customHeight="1" thickBot="1">
      <c r="B79" s="1497"/>
      <c r="C79" s="499" t="s">
        <v>513</v>
      </c>
      <c r="D79" s="589">
        <f>D77*D78</f>
        <v>0</v>
      </c>
      <c r="E79" s="454" t="str" cm="1">
        <f t="array" ref="E79">IFERROR(_xlfn.IFS(E6="Opción 2","-",E6="Opción 1","-",E6="Opción 3","-",E6="Opción 4","m2"),"Desplegar energético")</f>
        <v>Desplegar energético</v>
      </c>
      <c r="L79" s="331"/>
      <c r="M79" s="331"/>
    </row>
    <row r="80" spans="2:13" ht="19.350000000000001" customHeight="1" thickBot="1">
      <c r="B80" s="1497"/>
      <c r="C80" s="157"/>
      <c r="D80" s="393"/>
      <c r="E80" s="393"/>
      <c r="L80" s="331"/>
      <c r="M80" s="331"/>
    </row>
    <row r="81" spans="2:14" ht="19.350000000000001" hidden="1" customHeight="1" thickTop="1" thickBot="1">
      <c r="B81" s="1497"/>
      <c r="C81" s="1517" t="s">
        <v>764</v>
      </c>
      <c r="D81" s="1507" t="s">
        <v>765</v>
      </c>
      <c r="E81" s="1508"/>
      <c r="L81" s="331"/>
      <c r="M81" s="331"/>
    </row>
    <row r="82" spans="2:14" ht="28.35" hidden="1" customHeight="1" thickTop="1" thickBot="1">
      <c r="B82" s="1497"/>
      <c r="C82" s="1517"/>
      <c r="D82" s="1522">
        <f>IFERROR(ROUNDUP((D74/D77)-D78,0),0)</f>
        <v>0</v>
      </c>
      <c r="E82" s="1523"/>
      <c r="J82" s="651"/>
      <c r="K82" s="651"/>
      <c r="L82" s="331"/>
      <c r="M82" s="331"/>
    </row>
    <row r="83" spans="2:14" ht="19.350000000000001" customHeight="1" thickBot="1">
      <c r="B83" s="1497"/>
      <c r="C83" s="1505" t="s">
        <v>766</v>
      </c>
      <c r="D83" s="1507" t="s">
        <v>177</v>
      </c>
      <c r="E83" s="1508"/>
      <c r="L83" s="331"/>
      <c r="M83" s="331"/>
    </row>
    <row r="84" spans="2:14" ht="31.35" customHeight="1" thickBot="1">
      <c r="B84" s="1498"/>
      <c r="C84" s="1506"/>
      <c r="D84" s="1520" t="str" cm="1">
        <f t="array" ref="D84">_xlfn.IFS(D79&gt;$D$74,"Cumple",D79=$D$74,"Cumple",D79&lt;$D$74,"No cumple")</f>
        <v>Cumple</v>
      </c>
      <c r="E84" s="1521"/>
      <c r="L84" s="331"/>
      <c r="M84" s="331"/>
    </row>
    <row r="85" spans="2:14" ht="19.350000000000001" customHeight="1">
      <c r="B85" s="567"/>
      <c r="C85" s="157"/>
      <c r="L85" s="331"/>
      <c r="M85" s="331"/>
    </row>
    <row r="86" spans="2:14" s="322" customFormat="1" ht="16.5" customHeight="1">
      <c r="B86" s="323"/>
      <c r="C86" s="116" t="s">
        <v>767</v>
      </c>
      <c r="D86" s="324"/>
      <c r="E86" s="116"/>
      <c r="F86" s="324"/>
      <c r="G86" s="324"/>
      <c r="H86" s="324"/>
      <c r="I86" s="116"/>
      <c r="J86" s="324"/>
    </row>
    <row r="87" spans="2:14" s="391" customFormat="1" ht="13.5" thickBot="1">
      <c r="C87" s="462"/>
      <c r="D87" s="393"/>
      <c r="E87" s="393"/>
    </row>
    <row r="88" spans="2:14" s="391" customFormat="1" ht="49.5" customHeight="1" thickBot="1">
      <c r="C88" s="472" t="s">
        <v>768</v>
      </c>
      <c r="D88" s="409" t="s">
        <v>769</v>
      </c>
      <c r="E88" s="455" t="str">
        <f>IF(D88=D98,"Justificación de consumo mediante Memoria de Cálculo e informe","Según cálculo")</f>
        <v>Justificación de consumo mediante Memoria de Cálculo e informe</v>
      </c>
      <c r="J88" s="591" t="s">
        <v>770</v>
      </c>
      <c r="K88" s="591"/>
      <c r="L88" s="437"/>
      <c r="M88" s="437"/>
      <c r="N88" s="437"/>
    </row>
    <row r="89" spans="2:14" s="391" customFormat="1" ht="13.5" thickBot="1">
      <c r="C89" s="473"/>
      <c r="D89" s="410"/>
      <c r="E89" s="410"/>
    </row>
    <row r="90" spans="2:14" s="391" customFormat="1" ht="13.5" thickBot="1">
      <c r="B90" s="1415" t="s">
        <v>771</v>
      </c>
      <c r="C90" s="456" t="s">
        <v>515</v>
      </c>
      <c r="D90" s="452" t="s">
        <v>772</v>
      </c>
      <c r="E90" s="452" t="s">
        <v>177</v>
      </c>
      <c r="G90" s="411"/>
    </row>
    <row r="91" spans="2:14" s="399" customFormat="1" ht="63" customHeight="1" thickBot="1">
      <c r="B91" s="1473"/>
      <c r="C91" s="456" t="s">
        <v>773</v>
      </c>
      <c r="D91" s="855"/>
      <c r="E91" s="459" t="str">
        <f>IF(D91&lt;=((D3*2)/3),"Uso 2/3 de cubierta o menos","No aplica excepción")</f>
        <v>Uso 2/3 de cubierta o menos</v>
      </c>
      <c r="G91" s="851"/>
      <c r="I91" s="852"/>
      <c r="J91" s="1511" t="s">
        <v>774</v>
      </c>
      <c r="K91" s="1511"/>
    </row>
    <row r="92" spans="2:14" s="391" customFormat="1" ht="12.6" customHeight="1" thickBot="1">
      <c r="B92" s="1497"/>
      <c r="C92" s="467"/>
      <c r="G92" s="411"/>
    </row>
    <row r="93" spans="2:14" s="259" customFormat="1" ht="30" customHeight="1" thickBot="1">
      <c r="B93" s="1497"/>
      <c r="C93" s="456" t="s">
        <v>775</v>
      </c>
      <c r="D93" s="457" t="s">
        <v>776</v>
      </c>
      <c r="E93" s="455" t="s">
        <v>777</v>
      </c>
      <c r="G93" s="411"/>
      <c r="H93" s="391"/>
    </row>
    <row r="94" spans="2:14" s="259" customFormat="1" ht="30" customHeight="1" thickBot="1">
      <c r="B94" s="1497"/>
      <c r="C94" s="440" t="s">
        <v>720</v>
      </c>
      <c r="D94" s="458" cm="1">
        <f t="array" ref="D94">IFERROR(_xlfn.IFS($D$88=$D$90,(D16/D3)*100%,$D$88=$D$98,0),"N/A")</f>
        <v>0</v>
      </c>
      <c r="E94" s="459">
        <v>1</v>
      </c>
      <c r="G94" s="411"/>
      <c r="H94" s="391"/>
    </row>
    <row r="95" spans="2:14" s="259" customFormat="1" ht="30" customHeight="1" thickBot="1">
      <c r="B95" s="1497"/>
      <c r="C95" s="440" t="s">
        <v>778</v>
      </c>
      <c r="D95" s="853" cm="1">
        <f t="array" ref="D95">IFERROR(_xlfn.IFS($D$88=$D$90,(D16/D3)*100%,$D$88=$D$98,0),"N/A")</f>
        <v>0</v>
      </c>
      <c r="E95" s="459">
        <v>0.66</v>
      </c>
      <c r="G95" s="411"/>
      <c r="H95" s="391"/>
    </row>
    <row r="96" spans="2:14" s="391" customFormat="1" ht="23.1" customHeight="1" thickBot="1">
      <c r="B96" s="1498"/>
      <c r="C96" s="854" t="s">
        <v>779</v>
      </c>
      <c r="D96" s="854"/>
      <c r="E96" s="400" t="str" cm="1">
        <f t="array" ref="E96">IFERROR(IF(D88=D90,IF(E91="Uso 2/3 de cubierta o menos",_xlfn.IFS(D95&lt;E95,"No cumple",D95&gt;=E95,"Cumple"),_xlfn.IFS(D94&lt;E94,"No cumple",D94=E94,"Cumple")),"N/A"),"Completar datos")</f>
        <v>N/A</v>
      </c>
      <c r="G96" s="411"/>
      <c r="I96" s="399"/>
    </row>
    <row r="97" spans="2:20" s="391" customFormat="1" ht="13.5" thickBot="1">
      <c r="C97" s="351"/>
      <c r="D97" s="398"/>
      <c r="E97" s="398"/>
      <c r="G97" s="411"/>
    </row>
    <row r="98" spans="2:20" s="391" customFormat="1" ht="13.5" thickBot="1">
      <c r="B98" s="1415" t="s">
        <v>780</v>
      </c>
      <c r="C98" s="456" t="s">
        <v>521</v>
      </c>
      <c r="D98" s="452" t="s">
        <v>769</v>
      </c>
      <c r="E98" s="452" t="s">
        <v>177</v>
      </c>
      <c r="G98" s="411"/>
    </row>
    <row r="99" spans="2:20" s="391" customFormat="1" ht="30" customHeight="1" thickBot="1">
      <c r="B99" s="1497"/>
      <c r="C99" s="467"/>
      <c r="E99" s="455" t="str" cm="1">
        <f t="array" ref="E99">IF(D88=D98,IF(D100=0,"Completar información de consumo",_xlfn.IFS(D101&gt;=D100,"Cumple",D101&lt;D100,"No cumple")),"N/A")</f>
        <v>Completar información de consumo</v>
      </c>
      <c r="G99" s="411"/>
    </row>
    <row r="100" spans="2:20" s="391" customFormat="1" ht="21.6" customHeight="1" thickBot="1">
      <c r="B100" s="1497"/>
      <c r="C100" s="472" t="s">
        <v>781</v>
      </c>
      <c r="D100" s="118"/>
      <c r="E100" s="460" t="s">
        <v>782</v>
      </c>
      <c r="G100" s="411"/>
      <c r="J100" s="591" t="s">
        <v>783</v>
      </c>
      <c r="K100" s="591"/>
      <c r="L100" s="437"/>
      <c r="M100" s="437"/>
      <c r="N100" s="437"/>
    </row>
    <row r="101" spans="2:20" s="391" customFormat="1" ht="25.5" customHeight="1" thickBot="1">
      <c r="B101" s="1498"/>
      <c r="C101" s="472" t="s">
        <v>784</v>
      </c>
      <c r="D101" s="118"/>
      <c r="E101" s="460" t="s">
        <v>782</v>
      </c>
      <c r="G101" s="411"/>
      <c r="J101" s="591" t="s">
        <v>785</v>
      </c>
      <c r="K101" s="591"/>
      <c r="L101" s="437"/>
      <c r="M101" s="437"/>
      <c r="N101" s="437"/>
    </row>
    <row r="102" spans="2:20" s="391" customFormat="1">
      <c r="C102" s="351"/>
      <c r="D102" s="398"/>
      <c r="E102" s="398"/>
      <c r="G102" s="411"/>
    </row>
    <row r="103" spans="2:20" ht="22.35" customHeight="1">
      <c r="C103" s="4"/>
      <c r="G103" s="411"/>
    </row>
    <row r="104" spans="2:20">
      <c r="G104" s="411"/>
    </row>
    <row r="105" spans="2:20">
      <c r="G105" s="411"/>
    </row>
    <row r="106" spans="2:20" ht="13.5" thickBot="1"/>
    <row r="107" spans="2:20">
      <c r="P107" s="412" t="s">
        <v>786</v>
      </c>
      <c r="Q107" s="413"/>
      <c r="R107" s="413"/>
      <c r="S107" s="413"/>
      <c r="T107" s="414"/>
    </row>
    <row r="108" spans="2:20">
      <c r="P108" s="415" t="s">
        <v>787</v>
      </c>
      <c r="Q108" s="157" t="s">
        <v>788</v>
      </c>
      <c r="T108" s="416"/>
    </row>
    <row r="109" spans="2:20" ht="51">
      <c r="P109" s="960" t="s">
        <v>789</v>
      </c>
      <c r="Q109" s="329" t="s">
        <v>713</v>
      </c>
      <c r="T109" s="416"/>
    </row>
    <row r="110" spans="2:20">
      <c r="P110" s="415"/>
      <c r="T110" s="416"/>
    </row>
    <row r="111" spans="2:20">
      <c r="P111" s="415"/>
      <c r="T111" s="416"/>
    </row>
    <row r="112" spans="2:20">
      <c r="T112" s="416"/>
    </row>
    <row r="113" spans="16:20">
      <c r="T113" s="416"/>
    </row>
    <row r="114" spans="16:20">
      <c r="T114" s="416"/>
    </row>
    <row r="115" spans="16:20">
      <c r="T115" s="416"/>
    </row>
    <row r="116" spans="16:20">
      <c r="T116" s="416"/>
    </row>
    <row r="117" spans="16:20">
      <c r="T117" s="416"/>
    </row>
    <row r="118" spans="16:20">
      <c r="P118" s="420"/>
      <c r="Q118" s="325"/>
      <c r="T118" s="416"/>
    </row>
    <row r="119" spans="16:20">
      <c r="P119" s="420"/>
      <c r="Q119" s="325"/>
      <c r="T119" s="416"/>
    </row>
    <row r="120" spans="16:20">
      <c r="P120" s="420"/>
      <c r="Q120" s="325"/>
      <c r="T120" s="416"/>
    </row>
    <row r="121" spans="16:20">
      <c r="P121" s="1499" t="s">
        <v>790</v>
      </c>
      <c r="Q121" s="1500"/>
      <c r="R121" s="1500"/>
      <c r="T121" s="416"/>
    </row>
    <row r="122" spans="16:20" ht="12.6" customHeight="1">
      <c r="P122" s="421" t="s">
        <v>791</v>
      </c>
      <c r="Q122" s="422" t="s">
        <v>792</v>
      </c>
      <c r="R122" s="423" t="s">
        <v>793</v>
      </c>
      <c r="T122" s="416"/>
    </row>
    <row r="123" spans="16:20">
      <c r="P123" s="417" t="s">
        <v>794</v>
      </c>
      <c r="Q123" s="418">
        <v>1.2999999999999999E-2</v>
      </c>
      <c r="R123" s="424">
        <v>6.5000000000000002E-2</v>
      </c>
      <c r="T123" s="416"/>
    </row>
    <row r="124" spans="16:20">
      <c r="P124" s="425" t="s">
        <v>795</v>
      </c>
      <c r="Q124" s="426">
        <v>0.01</v>
      </c>
      <c r="R124" s="427">
        <v>0.05</v>
      </c>
      <c r="T124" s="416"/>
    </row>
    <row r="125" spans="16:20">
      <c r="P125" s="415"/>
      <c r="T125" s="416"/>
    </row>
    <row r="126" spans="16:20">
      <c r="P126" s="415"/>
      <c r="T126" s="416"/>
    </row>
    <row r="127" spans="16:20">
      <c r="P127" s="415"/>
      <c r="T127" s="416"/>
    </row>
    <row r="128" spans="16:20">
      <c r="P128" s="1499" t="s">
        <v>796</v>
      </c>
      <c r="Q128" s="1500"/>
      <c r="R128" s="1500"/>
      <c r="T128" s="416"/>
    </row>
    <row r="129" spans="16:20" ht="12.6" customHeight="1">
      <c r="P129" s="421" t="s">
        <v>791</v>
      </c>
      <c r="Q129" s="422" t="s">
        <v>792</v>
      </c>
      <c r="R129" s="423" t="s">
        <v>793</v>
      </c>
      <c r="T129" s="416"/>
    </row>
    <row r="130" spans="16:20">
      <c r="P130" s="417" t="s">
        <v>797</v>
      </c>
      <c r="Q130" s="418">
        <v>6.5000000000000002E-2</v>
      </c>
      <c r="R130" s="424" t="s">
        <v>798</v>
      </c>
      <c r="T130" s="416"/>
    </row>
    <row r="131" spans="16:20" ht="13.5" thickBot="1">
      <c r="P131" s="428" t="s">
        <v>700</v>
      </c>
      <c r="Q131" s="429">
        <v>0.05</v>
      </c>
      <c r="R131" s="430" t="s">
        <v>798</v>
      </c>
      <c r="S131" s="431"/>
      <c r="T131" s="432"/>
    </row>
    <row r="133" spans="16:20">
      <c r="P133" s="1509" t="s">
        <v>799</v>
      </c>
      <c r="Q133" s="1510"/>
      <c r="R133" s="1510"/>
    </row>
    <row r="134" spans="16:20">
      <c r="P134" s="417" t="s">
        <v>800</v>
      </c>
      <c r="Q134" s="418" t="s">
        <v>801</v>
      </c>
      <c r="R134" s="418" t="s">
        <v>802</v>
      </c>
      <c r="S134" s="419" t="s">
        <v>803</v>
      </c>
    </row>
    <row r="135" spans="16:20">
      <c r="P135" s="417" t="s">
        <v>794</v>
      </c>
      <c r="Q135" s="418" t="s">
        <v>797</v>
      </c>
      <c r="R135" s="417" t="s">
        <v>794</v>
      </c>
      <c r="S135" s="418" t="s">
        <v>794</v>
      </c>
    </row>
    <row r="136" spans="16:20">
      <c r="P136" s="417" t="s">
        <v>795</v>
      </c>
      <c r="Q136" s="418" t="s">
        <v>700</v>
      </c>
      <c r="R136" s="417" t="s">
        <v>795</v>
      </c>
      <c r="S136" s="418" t="s">
        <v>795</v>
      </c>
    </row>
    <row r="137" spans="16:20">
      <c r="P137" s="420"/>
      <c r="Q137" s="325"/>
      <c r="R137" s="325"/>
      <c r="S137" s="418"/>
    </row>
    <row r="138" spans="16:20">
      <c r="P138" s="420"/>
      <c r="Q138" s="325"/>
      <c r="R138" s="325"/>
      <c r="S138" s="418"/>
    </row>
    <row r="139" spans="16:20">
      <c r="P139" s="157" t="s">
        <v>804</v>
      </c>
    </row>
    <row r="140" spans="16:20">
      <c r="P140" s="1499" t="s">
        <v>796</v>
      </c>
      <c r="Q140" s="1500"/>
      <c r="R140" s="1500"/>
    </row>
    <row r="141" spans="16:20">
      <c r="P141" s="421" t="s">
        <v>791</v>
      </c>
      <c r="Q141" s="422" t="s">
        <v>792</v>
      </c>
      <c r="R141" s="423" t="s">
        <v>793</v>
      </c>
    </row>
    <row r="142" spans="16:20">
      <c r="P142" s="417" t="s">
        <v>797</v>
      </c>
      <c r="Q142" s="418">
        <v>6.5000000000000002E-2</v>
      </c>
      <c r="R142" s="424" t="s">
        <v>798</v>
      </c>
    </row>
    <row r="143" spans="16:20" ht="13.5" thickBot="1">
      <c r="P143" s="428" t="s">
        <v>700</v>
      </c>
      <c r="Q143" s="429">
        <v>0.05</v>
      </c>
      <c r="R143" s="430" t="s">
        <v>798</v>
      </c>
    </row>
  </sheetData>
  <sheetProtection algorithmName="SHA-512" hashValue="HTP+Fqf29SPZ0/eI+lvwgj0OLKifsY0aTd24Dj7NL4/AMrD7i7u3bpP79Hd5gVYfaS2Y8rK6jZo38n6rMUfwGQ==" saltValue="7GmoULU5KwEW89dWToKATw==" spinCount="100000" sheet="1" objects="1" scenarios="1"/>
  <mergeCells count="48">
    <mergeCell ref="J68:K68"/>
    <mergeCell ref="D53:E53"/>
    <mergeCell ref="C43:C44"/>
    <mergeCell ref="C83:C84"/>
    <mergeCell ref="D83:E83"/>
    <mergeCell ref="D84:E84"/>
    <mergeCell ref="D82:E82"/>
    <mergeCell ref="C69:C71"/>
    <mergeCell ref="D69:E69"/>
    <mergeCell ref="C81:C82"/>
    <mergeCell ref="D81:E81"/>
    <mergeCell ref="D43:E43"/>
    <mergeCell ref="D44:E44"/>
    <mergeCell ref="P121:R121"/>
    <mergeCell ref="P128:R128"/>
    <mergeCell ref="B90:B96"/>
    <mergeCell ref="B98:B101"/>
    <mergeCell ref="J77:K77"/>
    <mergeCell ref="J91:K91"/>
    <mergeCell ref="B13:B30"/>
    <mergeCell ref="J26:N27"/>
    <mergeCell ref="C25:C27"/>
    <mergeCell ref="D25:E25"/>
    <mergeCell ref="C29:C30"/>
    <mergeCell ref="D29:E29"/>
    <mergeCell ref="D30:E30"/>
    <mergeCell ref="J6:K6"/>
    <mergeCell ref="J55:K55"/>
    <mergeCell ref="J56:K56"/>
    <mergeCell ref="J57:K57"/>
    <mergeCell ref="J58:K58"/>
    <mergeCell ref="J9:K9"/>
    <mergeCell ref="B33:B44"/>
    <mergeCell ref="P140:R140"/>
    <mergeCell ref="J78:K78"/>
    <mergeCell ref="B55:B84"/>
    <mergeCell ref="J59:K59"/>
    <mergeCell ref="J60:K60"/>
    <mergeCell ref="J61:K61"/>
    <mergeCell ref="J62:K62"/>
    <mergeCell ref="J63:K63"/>
    <mergeCell ref="J64:K64"/>
    <mergeCell ref="J65:K65"/>
    <mergeCell ref="B47:B53"/>
    <mergeCell ref="D47:E47"/>
    <mergeCell ref="C52:C53"/>
    <mergeCell ref="D52:E52"/>
    <mergeCell ref="P133:R133"/>
  </mergeCells>
  <phoneticPr fontId="17" type="noConversion"/>
  <conditionalFormatting sqref="D19">
    <cfRule type="containsText" dxfId="183" priority="97" operator="containsText" text="Actualizar Energetico Cocina">
      <formula>NOT(ISERROR(SEARCH("Actualizar Energetico Cocina",D19)))</formula>
    </cfRule>
  </conditionalFormatting>
  <conditionalFormatting sqref="D23 D51 D54">
    <cfRule type="containsText" dxfId="182" priority="95" operator="containsText" text="N/A">
      <formula>NOT(ISERROR(SEARCH("N/A",D23)))</formula>
    </cfRule>
  </conditionalFormatting>
  <conditionalFormatting sqref="D30">
    <cfRule type="containsText" dxfId="181" priority="100" operator="containsText" text="No cumple">
      <formula>NOT(ISERROR(SEARCH("No cumple",D30)))</formula>
    </cfRule>
  </conditionalFormatting>
  <conditionalFormatting sqref="D37:D38">
    <cfRule type="containsText" dxfId="180" priority="96" operator="containsText" text="Actualizar Energetico Cocina">
      <formula>NOT(ISERROR(SEARCH("Actualizar Energetico Cocina",D37)))</formula>
    </cfRule>
  </conditionalFormatting>
  <conditionalFormatting sqref="D40:D42">
    <cfRule type="containsText" dxfId="179" priority="82" operator="containsText" text="N/A">
      <formula>NOT(ISERROR(SEARCH("N/A",D40)))</formula>
    </cfRule>
  </conditionalFormatting>
  <conditionalFormatting sqref="D47 D23 D51 D54">
    <cfRule type="containsText" dxfId="178" priority="94" operator="containsText" text="kWp">
      <formula>NOT(ISERROR(SEARCH("kWp",D23)))</formula>
    </cfRule>
  </conditionalFormatting>
  <conditionalFormatting sqref="D47">
    <cfRule type="containsText" dxfId="177" priority="91" operator="containsText" text="N/A">
      <formula>NOT(ISERROR(SEARCH("N/A",D47)))</formula>
    </cfRule>
  </conditionalFormatting>
  <conditionalFormatting sqref="D48">
    <cfRule type="containsText" dxfId="176" priority="67" operator="containsText" text="Actualizar Energetico Cocina">
      <formula>NOT(ISERROR(SEARCH("Actualizar Energetico Cocina",D48)))</formula>
    </cfRule>
  </conditionalFormatting>
  <conditionalFormatting sqref="D53">
    <cfRule type="containsText" dxfId="175" priority="64" operator="containsText" text="No">
      <formula>NOT(ISERROR(SEARCH("No",D53)))</formula>
    </cfRule>
  </conditionalFormatting>
  <conditionalFormatting sqref="D61">
    <cfRule type="containsText" dxfId="174" priority="56" operator="containsText" text="Actualizar Energetico Cocina">
      <formula>NOT(ISERROR(SEARCH("Actualizar Energetico Cocina",D61)))</formula>
    </cfRule>
  </conditionalFormatting>
  <conditionalFormatting sqref="D65:D67">
    <cfRule type="containsText" dxfId="173" priority="6" operator="containsText" text="kWp">
      <formula>NOT(ISERROR(SEARCH("kWp",D65)))</formula>
    </cfRule>
    <cfRule type="containsText" dxfId="172" priority="7" operator="containsText" text="N/A">
      <formula>NOT(ISERROR(SEARCH("N/A",D65)))</formula>
    </cfRule>
  </conditionalFormatting>
  <conditionalFormatting sqref="D73:D75">
    <cfRule type="containsText" dxfId="171" priority="35" operator="containsText" text="kWp">
      <formula>NOT(ISERROR(SEARCH("kWp",D73)))</formula>
    </cfRule>
    <cfRule type="containsText" dxfId="170" priority="36" operator="containsText" text="N/A">
      <formula>NOT(ISERROR(SEARCH("N/A",D73)))</formula>
    </cfRule>
  </conditionalFormatting>
  <conditionalFormatting sqref="D79">
    <cfRule type="containsText" dxfId="169" priority="32" operator="containsText" text="N/A">
      <formula>NOT(ISERROR(SEARCH("N/A",D79)))</formula>
    </cfRule>
  </conditionalFormatting>
  <conditionalFormatting sqref="D82">
    <cfRule type="containsText" dxfId="168" priority="22" operator="containsText" text="No cumple">
      <formula>NOT(ISERROR(SEARCH("No cumple",D82)))</formula>
    </cfRule>
  </conditionalFormatting>
  <conditionalFormatting sqref="D84">
    <cfRule type="containsText" dxfId="167" priority="27" operator="containsText" text="No cumple">
      <formula>NOT(ISERROR(SEARCH("No cumple",D84)))</formula>
    </cfRule>
    <cfRule type="containsText" dxfId="166" priority="28" stopIfTrue="1" operator="containsText" text="Cumple">
      <formula>NOT(ISERROR(SEARCH("Cumple",D84)))</formula>
    </cfRule>
  </conditionalFormatting>
  <conditionalFormatting sqref="D40:E42">
    <cfRule type="containsText" dxfId="165" priority="77" operator="containsText" text="kWp">
      <formula>NOT(ISERROR(SEARCH("kWp",D40)))</formula>
    </cfRule>
  </conditionalFormatting>
  <conditionalFormatting sqref="D79:E79">
    <cfRule type="containsText" dxfId="164" priority="30" operator="containsText" text="kWp">
      <formula>NOT(ISERROR(SEARCH("kWp",D79)))</formula>
    </cfRule>
  </conditionalFormatting>
  <conditionalFormatting sqref="D94:E95">
    <cfRule type="containsText" dxfId="163" priority="98" operator="containsText" text="No">
      <formula>NOT(ISERROR(SEARCH("No",D94)))</formula>
    </cfRule>
  </conditionalFormatting>
  <conditionalFormatting sqref="E19 E51 E54">
    <cfRule type="containsText" dxfId="162" priority="92" operator="containsText" text="kWp">
      <formula>NOT(ISERROR(SEARCH("kWp",E19)))</formula>
    </cfRule>
  </conditionalFormatting>
  <conditionalFormatting sqref="E19 E54">
    <cfRule type="containsText" dxfId="161" priority="93" operator="containsText" text="N/A">
      <formula>NOT(ISERROR(SEARCH("N/A",E19)))</formula>
    </cfRule>
  </conditionalFormatting>
  <conditionalFormatting sqref="E22">
    <cfRule type="containsText" dxfId="160" priority="73" operator="containsText" text="N/A">
      <formula>NOT(ISERROR(SEARCH("N/A",E22)))</formula>
    </cfRule>
    <cfRule type="containsText" dxfId="159" priority="72" operator="containsText" text="kWp">
      <formula>NOT(ISERROR(SEARCH("kWp",E22)))</formula>
    </cfRule>
  </conditionalFormatting>
  <conditionalFormatting sqref="E23">
    <cfRule type="containsText" dxfId="158" priority="71" operator="containsText" text="N/A">
      <formula>NOT(ISERROR(SEARCH("N/A",E23)))</formula>
    </cfRule>
    <cfRule type="containsText" dxfId="157" priority="70" operator="containsText" text="kWp">
      <formula>NOT(ISERROR(SEARCH("kWp",E23)))</formula>
    </cfRule>
  </conditionalFormatting>
  <conditionalFormatting sqref="E26:E27">
    <cfRule type="containsText" dxfId="156" priority="61" stopIfTrue="1" operator="containsText" text="Cumple">
      <formula>NOT(ISERROR(SEARCH("Cumple",E26)))</formula>
    </cfRule>
    <cfRule type="containsText" dxfId="155" priority="60" operator="containsText" text="No cumple">
      <formula>NOT(ISERROR(SEARCH("No cumple",E26)))</formula>
    </cfRule>
  </conditionalFormatting>
  <conditionalFormatting sqref="E37">
    <cfRule type="containsText" dxfId="154" priority="75" operator="containsText" text="N/A">
      <formula>NOT(ISERROR(SEARCH("N/A",E37)))</formula>
    </cfRule>
  </conditionalFormatting>
  <conditionalFormatting sqref="E37:E38">
    <cfRule type="containsText" dxfId="153" priority="74" operator="containsText" text="kWp">
      <formula>NOT(ISERROR(SEARCH("kWp",E37)))</formula>
    </cfRule>
  </conditionalFormatting>
  <conditionalFormatting sqref="E38">
    <cfRule type="containsText" dxfId="152" priority="90" operator="containsText" text="N/A">
      <formula>NOT(ISERROR(SEARCH("N/A",E38)))</formula>
    </cfRule>
  </conditionalFormatting>
  <conditionalFormatting sqref="E40:E42">
    <cfRule type="containsText" dxfId="151" priority="78" operator="containsText" text="N/A">
      <formula>NOT(ISERROR(SEARCH("N/A",E40)))</formula>
    </cfRule>
  </conditionalFormatting>
  <conditionalFormatting sqref="E48">
    <cfRule type="containsText" dxfId="150" priority="68" operator="containsText" text="kWp">
      <formula>NOT(ISERROR(SEARCH("kWp",E48)))</formula>
    </cfRule>
    <cfRule type="containsText" dxfId="149" priority="69" operator="containsText" text="N/A">
      <formula>NOT(ISERROR(SEARCH("N/A",E48)))</formula>
    </cfRule>
  </conditionalFormatting>
  <conditionalFormatting sqref="E50">
    <cfRule type="containsText" dxfId="148" priority="65" operator="containsText" text="kWp">
      <formula>NOT(ISERROR(SEARCH("kWp",E50)))</formula>
    </cfRule>
  </conditionalFormatting>
  <conditionalFormatting sqref="E50:E51">
    <cfRule type="containsText" dxfId="147" priority="66" operator="containsText" text="N/A">
      <formula>NOT(ISERROR(SEARCH("N/A",E50)))</formula>
    </cfRule>
  </conditionalFormatting>
  <conditionalFormatting sqref="E61">
    <cfRule type="containsText" dxfId="146" priority="51" operator="containsText" text="kWp">
      <formula>NOT(ISERROR(SEARCH("kWp",E61)))</formula>
    </cfRule>
    <cfRule type="containsText" dxfId="145" priority="52" operator="containsText" text="N/A">
      <formula>NOT(ISERROR(SEARCH("N/A",E61)))</formula>
    </cfRule>
  </conditionalFormatting>
  <conditionalFormatting sqref="E64:E66">
    <cfRule type="containsText" dxfId="144" priority="43" operator="containsText" text="N/A">
      <formula>NOT(ISERROR(SEARCH("N/A",E64)))</formula>
    </cfRule>
    <cfRule type="containsText" dxfId="143" priority="42" operator="containsText" text="kWp">
      <formula>NOT(ISERROR(SEARCH("kWp",E64)))</formula>
    </cfRule>
  </conditionalFormatting>
  <conditionalFormatting sqref="E67">
    <cfRule type="containsText" dxfId="142" priority="40" operator="containsText" text="kWp">
      <formula>NOT(ISERROR(SEARCH("kWp",E67)))</formula>
    </cfRule>
  </conditionalFormatting>
  <conditionalFormatting sqref="E67:E68">
    <cfRule type="containsText" dxfId="141" priority="9" operator="containsText" text="N/A">
      <formula>NOT(ISERROR(SEARCH("N/A",E67)))</formula>
    </cfRule>
  </conditionalFormatting>
  <conditionalFormatting sqref="E68">
    <cfRule type="containsText" dxfId="140" priority="8" operator="containsText" text="kWp">
      <formula>NOT(ISERROR(SEARCH("kWp",E68)))</formula>
    </cfRule>
  </conditionalFormatting>
  <conditionalFormatting sqref="E70:E71">
    <cfRule type="containsText" dxfId="139" priority="26" stopIfTrue="1" operator="containsText" text="Cumple">
      <formula>NOT(ISERROR(SEARCH("Cumple",E70)))</formula>
    </cfRule>
    <cfRule type="containsText" dxfId="138" priority="25" operator="containsText" text="No cumple">
      <formula>NOT(ISERROR(SEARCH("No cumple",E70)))</formula>
    </cfRule>
  </conditionalFormatting>
  <conditionalFormatting sqref="E72:E75">
    <cfRule type="containsText" dxfId="137" priority="5" operator="containsText" text="N/A">
      <formula>NOT(ISERROR(SEARCH("N/A",E72)))</formula>
    </cfRule>
    <cfRule type="containsText" dxfId="136" priority="4" operator="containsText" text="kWp">
      <formula>NOT(ISERROR(SEARCH("kWp",E72)))</formula>
    </cfRule>
  </conditionalFormatting>
  <conditionalFormatting sqref="E79">
    <cfRule type="containsText" dxfId="135" priority="31" operator="containsText" text="N/A">
      <formula>NOT(ISERROR(SEARCH("N/A",E79)))</formula>
    </cfRule>
  </conditionalFormatting>
  <conditionalFormatting sqref="E91">
    <cfRule type="containsText" dxfId="134" priority="2" operator="containsText" text="No aplica excepción">
      <formula>NOT(ISERROR(SEARCH("No aplica excepción",E91)))</formula>
    </cfRule>
    <cfRule type="containsText" dxfId="133" priority="3" operator="containsText" text="Uso 2/3 de cubierta">
      <formula>NOT(ISERROR(SEARCH("Uso 2/3 de cubierta",E91)))</formula>
    </cfRule>
  </conditionalFormatting>
  <conditionalFormatting sqref="E96 G65:H66 G67">
    <cfRule type="containsText" dxfId="132" priority="101" stopIfTrue="1" operator="containsText" text="Cumple">
      <formula>NOT(ISERROR(SEARCH("Cumple",E65)))</formula>
    </cfRule>
  </conditionalFormatting>
  <conditionalFormatting sqref="G64">
    <cfRule type="containsText" dxfId="131" priority="11" operator="containsText" text="No">
      <formula>NOT(ISERROR(SEARCH("No",G64)))</formula>
    </cfRule>
    <cfRule type="containsText" dxfId="130" priority="10" stopIfTrue="1" operator="containsText" text="Cumple">
      <formula>NOT(ISERROR(SEARCH("Cumple",G64)))</formula>
    </cfRule>
  </conditionalFormatting>
  <conditionalFormatting sqref="G65:H66 D44 G67">
    <cfRule type="containsText" dxfId="129" priority="76" operator="containsText" text="No">
      <formula>NOT(ISERROR(SEARCH("No",D44)))</formula>
    </cfRule>
  </conditionalFormatting>
  <conditionalFormatting sqref="H27 E96">
    <cfRule type="containsText" dxfId="128" priority="84" operator="containsText" text="No">
      <formula>NOT(ISERROR(SEARCH("No",E27)))</formula>
    </cfRule>
  </conditionalFormatting>
  <conditionalFormatting sqref="H27">
    <cfRule type="containsText" dxfId="127" priority="99" stopIfTrue="1" operator="containsText" text="Cumple">
      <formula>NOT(ISERROR(SEARCH("Cumple",H27)))</formula>
    </cfRule>
  </conditionalFormatting>
  <conditionalFormatting sqref="H63:H64">
    <cfRule type="containsText" dxfId="126" priority="19" operator="containsText" text="No">
      <formula>NOT(ISERROR(SEARCH("No",H63)))</formula>
    </cfRule>
    <cfRule type="containsText" dxfId="125" priority="18" stopIfTrue="1" operator="containsText" text="Cumple">
      <formula>NOT(ISERROR(SEARCH("Cumple",H63)))</formula>
    </cfRule>
  </conditionalFormatting>
  <conditionalFormatting sqref="H66">
    <cfRule type="containsText" dxfId="124" priority="15" stopIfTrue="1" operator="containsText" text="Cumple">
      <formula>NOT(ISERROR(SEARCH("Cumple",H66)))</formula>
    </cfRule>
    <cfRule type="containsText" dxfId="123" priority="14" operator="containsText" text="No cumple">
      <formula>NOT(ISERROR(SEARCH("No cumple",H66)))</formula>
    </cfRule>
  </conditionalFormatting>
  <conditionalFormatting sqref="H71">
    <cfRule type="containsText" dxfId="122" priority="24" operator="containsText" text="No">
      <formula>NOT(ISERROR(SEARCH("No",H71)))</formula>
    </cfRule>
    <cfRule type="containsText" dxfId="121" priority="23" stopIfTrue="1" operator="containsText" text="Cumple">
      <formula>NOT(ISERROR(SEARCH("Cumple",H71)))</formula>
    </cfRule>
  </conditionalFormatting>
  <dataValidations count="5">
    <dataValidation type="list" allowBlank="1" showInputMessage="1" showErrorMessage="1" sqref="D88:D89" xr:uid="{DAD7F816-69BF-4FE7-9ADF-1935151D223D}">
      <formula1>"Neteo energía,Superficie cubierta"</formula1>
    </dataValidation>
    <dataValidation type="list" allowBlank="1" showInputMessage="1" showErrorMessage="1" sqref="D17:D18 D59:D60" xr:uid="{E4C578FB-5876-4FBA-B86A-451931991EC6}">
      <formula1>$P$109:$Q$109</formula1>
    </dataValidation>
    <dataValidation type="list" allowBlank="1" showInputMessage="1" showErrorMessage="1" sqref="D7" xr:uid="{447B6492-8A72-4214-82D2-127C56448D1C}">
      <formula1>INDIRECT($D$6)</formula1>
    </dataValidation>
    <dataValidation type="list" allowBlank="1" showInputMessage="1" showErrorMessage="1" sqref="D65:D66" xr:uid="{6D59243E-55EA-4453-9021-CD8605875532}">
      <formula1>$H$72:$H$73</formula1>
    </dataValidation>
    <dataValidation type="list" allowBlank="1" showInputMessage="1" showErrorMessage="1" sqref="D6" xr:uid="{C438F9E5-2637-4C5F-915F-8D2C0CD64A17}">
      <formula1>$P$134:$S$134</formula1>
    </dataValidation>
  </dataValidations>
  <pageMargins left="0.7" right="0.7" top="0.98624999999999996" bottom="0.75" header="0.3" footer="0.3"/>
  <pageSetup paperSize="9" scale="81" orientation="landscape" r:id="rId1"/>
  <headerFooter>
    <oddHeader>&amp;L&amp;G</oddHeader>
    <oddFooter>&amp;L&amp;D&amp;R&amp;A</oddFooter>
  </headerFooter>
  <ignoredErrors>
    <ignoredError sqref="D47 E64" unlockedFormula="1"/>
  </ignoredErrors>
  <legacyDrawingHF r:id="rId2"/>
  <tableParts count="7">
    <tablePart r:id="rId3"/>
    <tablePart r:id="rId4"/>
    <tablePart r:id="rId5"/>
    <tablePart r:id="rId6"/>
    <tablePart r:id="rId7"/>
    <tablePart r:id="rId8"/>
    <tablePart r:id="rId9"/>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B93D2-48BF-4AF0-89E4-509BBAEE21BB}">
  <dimension ref="A1:L34"/>
  <sheetViews>
    <sheetView showGridLines="0" zoomScaleNormal="100" zoomScalePageLayoutView="80" workbookViewId="0"/>
  </sheetViews>
  <sheetFormatPr defaultColWidth="8.7109375" defaultRowHeight="12.75"/>
  <cols>
    <col min="1" max="1" width="5.28515625" customWidth="1"/>
    <col min="2" max="2" width="26.7109375" customWidth="1"/>
    <col min="3" max="3" width="25.42578125" customWidth="1"/>
    <col min="4" max="4" width="19.7109375" customWidth="1"/>
    <col min="5" max="6" width="18.7109375" customWidth="1"/>
    <col min="7" max="7" width="22.42578125" customWidth="1"/>
    <col min="8" max="8" width="19.7109375" bestFit="1" customWidth="1"/>
    <col min="9" max="9" width="4.5703125" customWidth="1"/>
    <col min="10" max="10" width="53" customWidth="1"/>
  </cols>
  <sheetData>
    <row r="1" spans="1:11" s="117" customFormat="1" ht="26.85" customHeight="1">
      <c r="A1" s="115" t="s">
        <v>805</v>
      </c>
      <c r="B1" s="116" t="s">
        <v>806</v>
      </c>
      <c r="C1" s="116"/>
      <c r="D1" s="116"/>
      <c r="E1" s="116"/>
      <c r="F1" s="116"/>
      <c r="G1" s="116" t="s">
        <v>4</v>
      </c>
      <c r="H1" s="116" t="s">
        <v>5</v>
      </c>
    </row>
    <row r="2" spans="1:11" ht="13.5" thickBot="1"/>
    <row r="3" spans="1:11" ht="26.25" customHeight="1" thickBot="1">
      <c r="B3" s="271" t="s">
        <v>807</v>
      </c>
      <c r="C3" s="272"/>
      <c r="D3" s="272"/>
      <c r="E3" s="272"/>
      <c r="F3" s="272"/>
      <c r="G3" s="272"/>
      <c r="H3" s="273"/>
      <c r="K3" s="985"/>
    </row>
    <row r="4" spans="1:11" ht="43.35" customHeight="1" thickBot="1">
      <c r="B4" s="277" t="s">
        <v>808</v>
      </c>
      <c r="C4" s="49" t="s">
        <v>809</v>
      </c>
      <c r="D4" s="49" t="s">
        <v>810</v>
      </c>
      <c r="E4" s="49" t="s">
        <v>811</v>
      </c>
      <c r="F4" s="49" t="s">
        <v>812</v>
      </c>
      <c r="G4" s="49" t="s">
        <v>813</v>
      </c>
      <c r="H4" s="50" t="s">
        <v>814</v>
      </c>
      <c r="J4" s="985"/>
      <c r="K4" s="985"/>
    </row>
    <row r="5" spans="1:11">
      <c r="B5" s="743"/>
      <c r="C5" s="982"/>
      <c r="D5" s="877"/>
      <c r="E5" s="877"/>
      <c r="F5" s="877"/>
      <c r="G5" s="746"/>
      <c r="H5" s="979" t="str">
        <f>IF(OR(D5=0,E5=0,G5=0),"Completar información",IF(AND(C5="LED",E5&gt;=D5,G5/F5&lt;=8),"Cumple","No cumple"))</f>
        <v>Completar información</v>
      </c>
      <c r="J5" s="1528" t="s">
        <v>815</v>
      </c>
      <c r="K5" s="1528"/>
    </row>
    <row r="6" spans="1:11">
      <c r="B6" s="744"/>
      <c r="C6" s="983"/>
      <c r="D6" s="878"/>
      <c r="E6" s="878"/>
      <c r="F6" s="878"/>
      <c r="G6" s="879"/>
      <c r="H6" s="980" t="str">
        <f t="shared" ref="H6:H16" si="0">IF(OR(D6=0,E6=0,G6=0),"Completar información",IF(AND(C6="LED",E6&gt;=D6,G6/F6&lt;=8),"Cumple","No cumple"))</f>
        <v>Completar información</v>
      </c>
      <c r="J6" s="1528"/>
      <c r="K6" s="1528"/>
    </row>
    <row r="7" spans="1:11">
      <c r="B7" s="744"/>
      <c r="C7" s="983"/>
      <c r="D7" s="878"/>
      <c r="E7" s="878"/>
      <c r="F7" s="878"/>
      <c r="G7" s="879"/>
      <c r="H7" s="980" t="str">
        <f t="shared" si="0"/>
        <v>Completar información</v>
      </c>
      <c r="J7" s="1528"/>
      <c r="K7" s="1528"/>
    </row>
    <row r="8" spans="1:11">
      <c r="B8" s="744"/>
      <c r="C8" s="983"/>
      <c r="D8" s="878"/>
      <c r="E8" s="878"/>
      <c r="F8" s="878"/>
      <c r="G8" s="879"/>
      <c r="H8" s="980" t="str">
        <f t="shared" si="0"/>
        <v>Completar información</v>
      </c>
      <c r="J8" s="1528"/>
      <c r="K8" s="1528"/>
    </row>
    <row r="9" spans="1:11">
      <c r="B9" s="744"/>
      <c r="C9" s="983"/>
      <c r="D9" s="878"/>
      <c r="E9" s="878"/>
      <c r="F9" s="878"/>
      <c r="G9" s="879"/>
      <c r="H9" s="980" t="str">
        <f t="shared" si="0"/>
        <v>Completar información</v>
      </c>
      <c r="J9" s="1528"/>
      <c r="K9" s="1528"/>
    </row>
    <row r="10" spans="1:11">
      <c r="B10" s="744"/>
      <c r="C10" s="983"/>
      <c r="D10" s="878"/>
      <c r="E10" s="878"/>
      <c r="F10" s="878"/>
      <c r="G10" s="879"/>
      <c r="H10" s="980" t="str">
        <f t="shared" si="0"/>
        <v>Completar información</v>
      </c>
      <c r="J10" s="1528"/>
      <c r="K10" s="1528"/>
    </row>
    <row r="11" spans="1:11">
      <c r="B11" s="744"/>
      <c r="C11" s="983"/>
      <c r="D11" s="878"/>
      <c r="E11" s="878"/>
      <c r="F11" s="878"/>
      <c r="G11" s="879"/>
      <c r="H11" s="980" t="str">
        <f t="shared" si="0"/>
        <v>Completar información</v>
      </c>
      <c r="J11" s="1528"/>
      <c r="K11" s="1528"/>
    </row>
    <row r="12" spans="1:11">
      <c r="B12" s="744"/>
      <c r="C12" s="983"/>
      <c r="D12" s="878"/>
      <c r="E12" s="878"/>
      <c r="F12" s="878"/>
      <c r="G12" s="879"/>
      <c r="H12" s="980" t="str">
        <f t="shared" si="0"/>
        <v>Completar información</v>
      </c>
      <c r="J12" s="1528"/>
      <c r="K12" s="1528"/>
    </row>
    <row r="13" spans="1:11">
      <c r="B13" s="744"/>
      <c r="C13" s="983"/>
      <c r="D13" s="878"/>
      <c r="E13" s="878"/>
      <c r="F13" s="878"/>
      <c r="G13" s="879"/>
      <c r="H13" s="980" t="str">
        <f t="shared" si="0"/>
        <v>Completar información</v>
      </c>
      <c r="J13" s="1528"/>
      <c r="K13" s="1528"/>
    </row>
    <row r="14" spans="1:11">
      <c r="B14" s="744"/>
      <c r="C14" s="983"/>
      <c r="D14" s="878"/>
      <c r="E14" s="878"/>
      <c r="F14" s="878"/>
      <c r="G14" s="879"/>
      <c r="H14" s="980" t="str">
        <f t="shared" si="0"/>
        <v>Completar información</v>
      </c>
      <c r="J14" s="1528"/>
      <c r="K14" s="1528"/>
    </row>
    <row r="15" spans="1:11">
      <c r="B15" s="744"/>
      <c r="C15" s="983"/>
      <c r="D15" s="878"/>
      <c r="E15" s="878"/>
      <c r="F15" s="878"/>
      <c r="G15" s="879"/>
      <c r="H15" s="980" t="str">
        <f t="shared" si="0"/>
        <v>Completar información</v>
      </c>
      <c r="J15" s="1528"/>
      <c r="K15" s="1528"/>
    </row>
    <row r="16" spans="1:11" ht="13.5" thickBot="1">
      <c r="B16" s="745"/>
      <c r="C16" s="984"/>
      <c r="D16" s="880"/>
      <c r="E16" s="880"/>
      <c r="F16" s="880"/>
      <c r="G16" s="881"/>
      <c r="H16" s="981" t="str">
        <f t="shared" si="0"/>
        <v>Completar información</v>
      </c>
      <c r="J16" s="1528"/>
      <c r="K16" s="1528"/>
    </row>
    <row r="17" spans="2:12" ht="13.5" thickBot="1"/>
    <row r="18" spans="2:12" ht="13.5" customHeight="1" thickBot="1">
      <c r="B18" s="1529" t="s">
        <v>816</v>
      </c>
      <c r="C18" s="1531"/>
      <c r="D18" s="749"/>
      <c r="E18" s="1529" t="s">
        <v>817</v>
      </c>
      <c r="F18" s="1531"/>
      <c r="G18" s="749"/>
      <c r="J18" s="1511" t="s">
        <v>818</v>
      </c>
      <c r="K18" s="1511"/>
    </row>
    <row r="19" spans="2:12" ht="26.25" thickBot="1">
      <c r="B19" s="277" t="s">
        <v>819</v>
      </c>
      <c r="C19" s="50" t="s">
        <v>820</v>
      </c>
      <c r="D19" s="13"/>
      <c r="E19" s="151" t="s">
        <v>821</v>
      </c>
      <c r="F19" s="59" t="s">
        <v>822</v>
      </c>
      <c r="G19" s="13"/>
      <c r="J19" s="1511"/>
      <c r="K19" s="1511"/>
    </row>
    <row r="20" spans="2:12" ht="13.5" thickBot="1">
      <c r="B20" s="748"/>
      <c r="C20" s="882"/>
      <c r="D20" s="1"/>
      <c r="E20" s="988">
        <f>SUM(G5:G16)</f>
        <v>0</v>
      </c>
      <c r="F20" s="977" t="e">
        <f>SUM(C20:C30)/E20</f>
        <v>#DIV/0!</v>
      </c>
      <c r="G20" s="978"/>
      <c r="J20" s="1511"/>
      <c r="K20" s="1511"/>
    </row>
    <row r="21" spans="2:12">
      <c r="B21" s="747"/>
      <c r="C21" s="750"/>
      <c r="D21" s="1"/>
      <c r="E21" s="13"/>
      <c r="F21" s="978"/>
      <c r="G21" s="978"/>
      <c r="I21" s="469"/>
    </row>
    <row r="22" spans="2:12">
      <c r="B22" s="747"/>
      <c r="C22" s="750"/>
      <c r="D22" s="1"/>
      <c r="E22" s="13"/>
      <c r="F22" s="978"/>
      <c r="G22" s="978"/>
      <c r="I22" s="469"/>
    </row>
    <row r="23" spans="2:12">
      <c r="B23" s="747"/>
      <c r="C23" s="750"/>
      <c r="D23" s="1"/>
      <c r="E23" s="13"/>
      <c r="F23" s="978"/>
      <c r="G23" s="978"/>
      <c r="I23" s="469"/>
    </row>
    <row r="24" spans="2:12">
      <c r="B24" s="747"/>
      <c r="C24" s="750"/>
      <c r="D24" s="1"/>
      <c r="E24" s="13"/>
      <c r="F24" s="978"/>
      <c r="G24" s="978"/>
      <c r="I24" s="469"/>
    </row>
    <row r="25" spans="2:12">
      <c r="B25" s="747"/>
      <c r="C25" s="750"/>
      <c r="D25" s="1"/>
      <c r="E25" s="13"/>
      <c r="F25" s="978"/>
      <c r="G25" s="978"/>
      <c r="I25" s="469"/>
    </row>
    <row r="26" spans="2:12">
      <c r="B26" s="747"/>
      <c r="C26" s="750"/>
      <c r="D26" s="1"/>
      <c r="E26" s="13"/>
      <c r="F26" s="978"/>
      <c r="G26" s="978"/>
      <c r="I26" s="469"/>
    </row>
    <row r="27" spans="2:12">
      <c r="B27" s="747"/>
      <c r="C27" s="750"/>
      <c r="D27" s="1"/>
      <c r="E27" s="13"/>
      <c r="F27" s="978"/>
      <c r="G27" s="978"/>
      <c r="I27" s="469"/>
    </row>
    <row r="28" spans="2:12">
      <c r="B28" s="747"/>
      <c r="C28" s="750"/>
      <c r="D28" s="1"/>
      <c r="E28" s="13"/>
      <c r="F28" s="978"/>
      <c r="G28" s="978"/>
      <c r="I28" s="469"/>
    </row>
    <row r="29" spans="2:12">
      <c r="B29" s="747"/>
      <c r="C29" s="750"/>
      <c r="D29" s="1"/>
      <c r="E29" s="13"/>
      <c r="F29" s="978"/>
      <c r="G29" s="978"/>
      <c r="I29" s="469"/>
    </row>
    <row r="30" spans="2:12" ht="13.5" thickBot="1">
      <c r="B30" s="986"/>
      <c r="C30" s="751"/>
      <c r="D30" s="1"/>
      <c r="E30" s="13"/>
      <c r="F30" s="978"/>
      <c r="G30" s="978"/>
      <c r="I30" s="469"/>
    </row>
    <row r="31" spans="2:12" ht="13.5" thickBot="1">
      <c r="G31" s="978"/>
    </row>
    <row r="32" spans="2:12" ht="14.1" customHeight="1" thickBot="1">
      <c r="B32" s="1529" t="s">
        <v>823</v>
      </c>
      <c r="C32" s="1531"/>
      <c r="D32" s="749"/>
      <c r="E32" s="1529" t="s">
        <v>824</v>
      </c>
      <c r="F32" s="1530"/>
      <c r="G32" s="978"/>
      <c r="J32" s="1511" t="s">
        <v>825</v>
      </c>
      <c r="K32" s="1511"/>
      <c r="L32" s="749"/>
    </row>
    <row r="33" spans="2:12" ht="26.25" thickBot="1">
      <c r="B33" s="277" t="s">
        <v>826</v>
      </c>
      <c r="C33" s="50" t="s">
        <v>827</v>
      </c>
      <c r="D33" s="13"/>
      <c r="E33" s="151" t="s">
        <v>828</v>
      </c>
      <c r="F33" s="59" t="s">
        <v>822</v>
      </c>
      <c r="G33" s="978"/>
      <c r="J33" s="1511"/>
      <c r="K33" s="1511"/>
      <c r="L33" s="749"/>
    </row>
    <row r="34" spans="2:12" ht="13.5" thickBot="1">
      <c r="B34" s="753"/>
      <c r="C34" s="752"/>
      <c r="D34" s="1"/>
      <c r="E34" s="988">
        <f>B34</f>
        <v>0</v>
      </c>
      <c r="F34" s="977" t="str">
        <f>IFERROR(C34/B34,"")</f>
        <v/>
      </c>
      <c r="J34" s="1511"/>
      <c r="K34" s="1511"/>
      <c r="L34" s="749"/>
    </row>
  </sheetData>
  <sheetProtection algorithmName="SHA-512" hashValue="lsLAtXuDd7QG3kIwA4cmCcn3scecuMYkuPJ8J93KDbt6Smli/E9xI31tdWy2wyalPKxkEIHJ5YQp1qxIE0yfPA==" saltValue="tNozjFHa1JD3FZGKxDXvFA==" spinCount="100000" sheet="1" objects="1" scenarios="1"/>
  <mergeCells count="7">
    <mergeCell ref="J5:K16"/>
    <mergeCell ref="E32:F32"/>
    <mergeCell ref="B32:C32"/>
    <mergeCell ref="B18:C18"/>
    <mergeCell ref="E18:F18"/>
    <mergeCell ref="J18:K20"/>
    <mergeCell ref="J32:K34"/>
  </mergeCells>
  <conditionalFormatting sqref="C5:C16">
    <cfRule type="containsText" dxfId="76" priority="45" operator="containsText" text="LED">
      <formula>NOT(ISERROR(SEARCH("LED",C5)))</formula>
    </cfRule>
    <cfRule type="containsText" dxfId="75" priority="46" operator="containsText" text="LED">
      <formula>NOT(ISERROR(SEARCH("LED",C5)))</formula>
    </cfRule>
    <cfRule type="containsText" dxfId="74" priority="47" operator="containsText" text="Otra">
      <formula>NOT(ISERROR(SEARCH("Otra",C5)))</formula>
    </cfRule>
    <cfRule type="containsText" dxfId="73" priority="48" operator="containsText" text="No tiene">
      <formula>NOT(ISERROR(SEARCH("No tiene",C5)))</formula>
    </cfRule>
    <cfRule type="containsText" dxfId="72" priority="49" operator="containsText" text="Si tiene">
      <formula>NOT(ISERROR(SEARCH("Si tiene",C5)))</formula>
    </cfRule>
  </conditionalFormatting>
  <conditionalFormatting sqref="D5:G16 B20:B30 F21:F30">
    <cfRule type="containsText" dxfId="71" priority="42" operator="containsText" text="SI">
      <formula>NOT(ISERROR(SEARCH("SI",B5)))</formula>
    </cfRule>
    <cfRule type="containsText" dxfId="70" priority="43" operator="containsText" text="No tiene">
      <formula>NOT(ISERROR(SEARCH("No tiene",B5)))</formula>
    </cfRule>
    <cfRule type="containsText" dxfId="69" priority="44" operator="containsText" text="Si tiene">
      <formula>NOT(ISERROR(SEARCH("Si tiene",B5)))</formula>
    </cfRule>
  </conditionalFormatting>
  <conditionalFormatting sqref="F20">
    <cfRule type="containsErrors" dxfId="68" priority="1">
      <formula>ISERROR(F20)</formula>
    </cfRule>
    <cfRule type="cellIs" dxfId="67" priority="2" operator="lessThan">
      <formula>0.8</formula>
    </cfRule>
    <cfRule type="cellIs" dxfId="66" priority="3" operator="greaterThanOrEqual">
      <formula>0.8</formula>
    </cfRule>
  </conditionalFormatting>
  <conditionalFormatting sqref="F34">
    <cfRule type="cellIs" dxfId="65" priority="25" operator="equal">
      <formula>1</formula>
    </cfRule>
    <cfRule type="cellIs" dxfId="64" priority="26" operator="lessThan">
      <formula>1</formula>
    </cfRule>
  </conditionalFormatting>
  <conditionalFormatting sqref="H5:H16">
    <cfRule type="containsText" dxfId="63" priority="16" operator="containsText" text="No cumple">
      <formula>NOT(ISERROR(SEARCH("No cumple",H5)))</formula>
    </cfRule>
    <cfRule type="containsText" dxfId="62" priority="17" operator="containsText" text="Cumple">
      <formula>NOT(ISERROR(SEARCH("Cumple",H5)))</formula>
    </cfRule>
  </conditionalFormatting>
  <dataValidations count="3">
    <dataValidation type="list" allowBlank="1" showInputMessage="1" showErrorMessage="1" sqref="C5:C16" xr:uid="{4D402963-356A-40FD-AB53-EBE977F352F8}">
      <formula1>"LED,Otra"</formula1>
    </dataValidation>
    <dataValidation type="list" allowBlank="1" showInputMessage="1" showErrorMessage="1" sqref="B20:B30" xr:uid="{5B6A6916-2AF5-4AE7-97B4-9778AE4FEBA2}">
      <formula1>"Sensor de movimiento,Sensor volumentrico"</formula1>
    </dataValidation>
    <dataValidation type="list" allowBlank="1" showInputMessage="1" showErrorMessage="1" sqref="B20:B30" xr:uid="{E0A9E853-35D4-4733-B0AA-F0806F5B9C76}">
      <formula1>"Sensor de movimiento,Sensor volumetrico,Sensor de iluminación natural,Otro"</formula1>
    </dataValidation>
  </dataValidations>
  <pageMargins left="0.7" right="0.7" top="0.98624999999999996" bottom="0.75" header="0.3" footer="0.3"/>
  <pageSetup paperSize="9" scale="81" orientation="landscape" r:id="rId1"/>
  <headerFooter>
    <oddHeader>&amp;L&amp;G</oddHeader>
    <oddFooter>&amp;L&amp;D&amp;R&amp;A</oddFooter>
  </headerFooter>
  <ignoredErrors>
    <ignoredError sqref="F20" evalError="1"/>
  </ignoredError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2803C-F1F9-4404-8A65-0D20B2BEB5C0}">
  <dimension ref="A1:P23"/>
  <sheetViews>
    <sheetView showGridLines="0" zoomScaleNormal="100" zoomScalePageLayoutView="80" workbookViewId="0"/>
  </sheetViews>
  <sheetFormatPr defaultColWidth="8.7109375" defaultRowHeight="12.75"/>
  <cols>
    <col min="1" max="1" width="5.28515625" customWidth="1"/>
    <col min="2" max="2" width="26.7109375" customWidth="1"/>
    <col min="3" max="4" width="13.28515625" customWidth="1"/>
    <col min="5" max="6" width="20.42578125" customWidth="1"/>
    <col min="7" max="9" width="24.42578125" customWidth="1"/>
    <col min="10" max="10" width="4.7109375" customWidth="1"/>
    <col min="11" max="13" width="16.28515625" customWidth="1"/>
    <col min="14" max="14" width="77.28515625" customWidth="1"/>
    <col min="15" max="15" width="10.28515625" customWidth="1"/>
  </cols>
  <sheetData>
    <row r="1" spans="1:16" s="117" customFormat="1" ht="26.85" customHeight="1">
      <c r="A1" s="115" t="s">
        <v>829</v>
      </c>
      <c r="B1" s="116" t="s">
        <v>830</v>
      </c>
      <c r="C1" s="116"/>
      <c r="D1" s="116"/>
      <c r="E1" s="116"/>
      <c r="F1" s="116"/>
      <c r="G1" s="116"/>
      <c r="H1" s="116" t="s">
        <v>4</v>
      </c>
      <c r="I1" s="116" t="s">
        <v>5</v>
      </c>
      <c r="J1" s="116"/>
    </row>
    <row r="2" spans="1:16" ht="13.5" thickBot="1"/>
    <row r="3" spans="1:16" ht="13.5" thickBot="1">
      <c r="B3" s="1532" t="s">
        <v>831</v>
      </c>
      <c r="C3" s="1506"/>
      <c r="D3" s="1506"/>
      <c r="E3" s="1506"/>
      <c r="F3" s="1506"/>
      <c r="G3" s="1506"/>
      <c r="H3" s="1506"/>
      <c r="I3" s="1506"/>
      <c r="K3" s="1169" t="s">
        <v>832</v>
      </c>
      <c r="L3" s="1170"/>
      <c r="M3" s="1171"/>
    </row>
    <row r="4" spans="1:16" ht="64.5" thickBot="1">
      <c r="B4" s="151" t="s">
        <v>833</v>
      </c>
      <c r="C4" s="58" t="s">
        <v>6</v>
      </c>
      <c r="D4" s="58" t="s">
        <v>834</v>
      </c>
      <c r="E4" s="58" t="s">
        <v>835</v>
      </c>
      <c r="F4" s="58" t="s">
        <v>836</v>
      </c>
      <c r="G4" s="58" t="s">
        <v>837</v>
      </c>
      <c r="H4" s="58" t="s">
        <v>838</v>
      </c>
      <c r="I4" s="59" t="s">
        <v>839</v>
      </c>
      <c r="K4" s="781" t="s">
        <v>840</v>
      </c>
      <c r="L4" s="781" t="s">
        <v>840</v>
      </c>
      <c r="M4" s="781" t="s">
        <v>841</v>
      </c>
      <c r="N4" s="774"/>
    </row>
    <row r="5" spans="1:16" ht="13.5" thickBot="1">
      <c r="B5" s="770"/>
      <c r="C5" s="771"/>
      <c r="D5" s="771"/>
      <c r="E5" s="772"/>
      <c r="F5" s="772"/>
      <c r="G5" s="775">
        <f>(C5*E5)+(D5*F5)</f>
        <v>0</v>
      </c>
      <c r="H5" s="773"/>
      <c r="I5" s="785" t="str">
        <f t="shared" ref="I5" si="0">IF(H5=0,"Completar",IF(H5&gt;=(G5*1.3),"Cumple","No cumple"))</f>
        <v>Completar</v>
      </c>
      <c r="K5" s="87">
        <f>H5*3.6</f>
        <v>0</v>
      </c>
      <c r="L5" s="778"/>
      <c r="M5" s="87">
        <f>L5/3.6</f>
        <v>0</v>
      </c>
    </row>
    <row r="6" spans="1:16" ht="13.5" thickBot="1">
      <c r="B6" s="755"/>
      <c r="C6" s="768"/>
      <c r="D6" s="768"/>
      <c r="E6" s="754"/>
      <c r="F6" s="754"/>
      <c r="G6" s="776">
        <f t="shared" ref="G6:G20" si="1">(C6*E6)+(D6*F6)</f>
        <v>0</v>
      </c>
      <c r="H6" s="773"/>
      <c r="I6" s="785" t="str">
        <f t="shared" ref="I6:I20" si="2">IF(H6=0,"Completar",IF(H6&gt;=(G6*1.3),"Cumple","No cumple"))</f>
        <v>Completar</v>
      </c>
      <c r="K6" s="88">
        <f t="shared" ref="K6:K20" si="3">H6*3.6</f>
        <v>0</v>
      </c>
      <c r="L6" s="779"/>
      <c r="M6" s="88">
        <f t="shared" ref="M6:M20" si="4">L6/3.6</f>
        <v>0</v>
      </c>
    </row>
    <row r="7" spans="1:16" ht="13.5" customHeight="1" thickBot="1">
      <c r="B7" s="755"/>
      <c r="C7" s="768"/>
      <c r="D7" s="768"/>
      <c r="E7" s="754"/>
      <c r="F7" s="754"/>
      <c r="G7" s="776">
        <f t="shared" si="1"/>
        <v>0</v>
      </c>
      <c r="H7" s="773"/>
      <c r="I7" s="785" t="str">
        <f t="shared" si="2"/>
        <v>Completar</v>
      </c>
      <c r="K7" s="88">
        <f t="shared" si="3"/>
        <v>0</v>
      </c>
      <c r="L7" s="779"/>
      <c r="M7" s="88">
        <f t="shared" si="4"/>
        <v>0</v>
      </c>
    </row>
    <row r="8" spans="1:16" ht="13.5" thickBot="1">
      <c r="B8" s="755"/>
      <c r="C8" s="768"/>
      <c r="D8" s="768"/>
      <c r="E8" s="754"/>
      <c r="F8" s="754"/>
      <c r="G8" s="776">
        <f t="shared" si="1"/>
        <v>0</v>
      </c>
      <c r="H8" s="773"/>
      <c r="I8" s="785" t="str">
        <f t="shared" si="2"/>
        <v>Completar</v>
      </c>
      <c r="K8" s="88">
        <f t="shared" si="3"/>
        <v>0</v>
      </c>
      <c r="L8" s="779"/>
      <c r="M8" s="88">
        <f t="shared" si="4"/>
        <v>0</v>
      </c>
      <c r="N8" s="1533" t="s">
        <v>842</v>
      </c>
      <c r="O8" s="767"/>
      <c r="P8" s="767"/>
    </row>
    <row r="9" spans="1:16" ht="13.5" thickBot="1">
      <c r="B9" s="755"/>
      <c r="C9" s="768"/>
      <c r="D9" s="768"/>
      <c r="E9" s="754"/>
      <c r="F9" s="754"/>
      <c r="G9" s="776">
        <f t="shared" si="1"/>
        <v>0</v>
      </c>
      <c r="H9" s="773"/>
      <c r="I9" s="785" t="str">
        <f t="shared" si="2"/>
        <v>Completar</v>
      </c>
      <c r="K9" s="88">
        <f t="shared" si="3"/>
        <v>0</v>
      </c>
      <c r="L9" s="779"/>
      <c r="M9" s="88">
        <f t="shared" si="4"/>
        <v>0</v>
      </c>
      <c r="N9" s="1533"/>
      <c r="O9" s="767"/>
      <c r="P9" s="767"/>
    </row>
    <row r="10" spans="1:16" ht="13.5" customHeight="1" thickBot="1">
      <c r="B10" s="755"/>
      <c r="C10" s="768"/>
      <c r="D10" s="768"/>
      <c r="E10" s="754"/>
      <c r="F10" s="754"/>
      <c r="G10" s="776">
        <f t="shared" si="1"/>
        <v>0</v>
      </c>
      <c r="H10" s="773"/>
      <c r="I10" s="785" t="str">
        <f t="shared" si="2"/>
        <v>Completar</v>
      </c>
      <c r="K10" s="88">
        <f t="shared" si="3"/>
        <v>0</v>
      </c>
      <c r="L10" s="779"/>
      <c r="M10" s="88">
        <f t="shared" si="4"/>
        <v>0</v>
      </c>
      <c r="N10" s="1533"/>
      <c r="O10" s="767"/>
      <c r="P10" s="767"/>
    </row>
    <row r="11" spans="1:16" ht="13.5" thickBot="1">
      <c r="B11" s="755"/>
      <c r="C11" s="768"/>
      <c r="D11" s="768"/>
      <c r="E11" s="754"/>
      <c r="F11" s="754"/>
      <c r="G11" s="776">
        <f t="shared" si="1"/>
        <v>0</v>
      </c>
      <c r="H11" s="773"/>
      <c r="I11" s="785" t="str">
        <f t="shared" si="2"/>
        <v>Completar</v>
      </c>
      <c r="K11" s="88">
        <f t="shared" si="3"/>
        <v>0</v>
      </c>
      <c r="L11" s="779"/>
      <c r="M11" s="88">
        <f t="shared" si="4"/>
        <v>0</v>
      </c>
    </row>
    <row r="12" spans="1:16" ht="13.5" thickBot="1">
      <c r="B12" s="755"/>
      <c r="C12" s="768"/>
      <c r="D12" s="768"/>
      <c r="E12" s="754"/>
      <c r="F12" s="754"/>
      <c r="G12" s="776">
        <f t="shared" si="1"/>
        <v>0</v>
      </c>
      <c r="H12" s="773"/>
      <c r="I12" s="785" t="str">
        <f t="shared" si="2"/>
        <v>Completar</v>
      </c>
      <c r="K12" s="88">
        <f t="shared" si="3"/>
        <v>0</v>
      </c>
      <c r="L12" s="779"/>
      <c r="M12" s="88">
        <f t="shared" si="4"/>
        <v>0</v>
      </c>
    </row>
    <row r="13" spans="1:16" ht="13.5" thickBot="1">
      <c r="B13" s="755"/>
      <c r="C13" s="768"/>
      <c r="D13" s="768"/>
      <c r="E13" s="754"/>
      <c r="F13" s="754"/>
      <c r="G13" s="776">
        <f t="shared" si="1"/>
        <v>0</v>
      </c>
      <c r="H13" s="773"/>
      <c r="I13" s="785" t="str">
        <f t="shared" si="2"/>
        <v>Completar</v>
      </c>
      <c r="K13" s="88">
        <f t="shared" si="3"/>
        <v>0</v>
      </c>
      <c r="L13" s="779"/>
      <c r="M13" s="88">
        <f t="shared" si="4"/>
        <v>0</v>
      </c>
    </row>
    <row r="14" spans="1:16" ht="13.5" thickBot="1">
      <c r="B14" s="755"/>
      <c r="C14" s="768"/>
      <c r="D14" s="768"/>
      <c r="E14" s="754"/>
      <c r="F14" s="754"/>
      <c r="G14" s="776">
        <f t="shared" si="1"/>
        <v>0</v>
      </c>
      <c r="H14" s="773"/>
      <c r="I14" s="785" t="str">
        <f t="shared" si="2"/>
        <v>Completar</v>
      </c>
      <c r="K14" s="88">
        <f t="shared" si="3"/>
        <v>0</v>
      </c>
      <c r="L14" s="779"/>
      <c r="M14" s="88">
        <f t="shared" si="4"/>
        <v>0</v>
      </c>
    </row>
    <row r="15" spans="1:16" ht="13.5" thickBot="1">
      <c r="B15" s="755"/>
      <c r="C15" s="768"/>
      <c r="D15" s="768"/>
      <c r="E15" s="754"/>
      <c r="F15" s="754"/>
      <c r="G15" s="776">
        <f t="shared" si="1"/>
        <v>0</v>
      </c>
      <c r="H15" s="773"/>
      <c r="I15" s="785" t="str">
        <f t="shared" si="2"/>
        <v>Completar</v>
      </c>
      <c r="K15" s="88">
        <f t="shared" si="3"/>
        <v>0</v>
      </c>
      <c r="L15" s="779"/>
      <c r="M15" s="88">
        <f t="shared" si="4"/>
        <v>0</v>
      </c>
    </row>
    <row r="16" spans="1:16" ht="13.5" thickBot="1">
      <c r="B16" s="755"/>
      <c r="C16" s="768"/>
      <c r="D16" s="768"/>
      <c r="E16" s="754"/>
      <c r="F16" s="754"/>
      <c r="G16" s="776">
        <f t="shared" si="1"/>
        <v>0</v>
      </c>
      <c r="H16" s="773"/>
      <c r="I16" s="785" t="str">
        <f t="shared" si="2"/>
        <v>Completar</v>
      </c>
      <c r="K16" s="88">
        <f t="shared" si="3"/>
        <v>0</v>
      </c>
      <c r="L16" s="779"/>
      <c r="M16" s="88">
        <f t="shared" si="4"/>
        <v>0</v>
      </c>
    </row>
    <row r="17" spans="2:13" ht="13.5" thickBot="1">
      <c r="B17" s="755"/>
      <c r="C17" s="768"/>
      <c r="D17" s="768"/>
      <c r="E17" s="754"/>
      <c r="F17" s="754"/>
      <c r="G17" s="776">
        <f t="shared" si="1"/>
        <v>0</v>
      </c>
      <c r="H17" s="773"/>
      <c r="I17" s="785" t="str">
        <f t="shared" si="2"/>
        <v>Completar</v>
      </c>
      <c r="K17" s="88">
        <f t="shared" si="3"/>
        <v>0</v>
      </c>
      <c r="L17" s="779"/>
      <c r="M17" s="88">
        <f t="shared" si="4"/>
        <v>0</v>
      </c>
    </row>
    <row r="18" spans="2:13" ht="13.5" thickBot="1">
      <c r="B18" s="755"/>
      <c r="C18" s="768"/>
      <c r="D18" s="768"/>
      <c r="E18" s="754"/>
      <c r="F18" s="754"/>
      <c r="G18" s="776">
        <f t="shared" si="1"/>
        <v>0</v>
      </c>
      <c r="H18" s="773"/>
      <c r="I18" s="785" t="str">
        <f t="shared" si="2"/>
        <v>Completar</v>
      </c>
      <c r="K18" s="88">
        <f t="shared" si="3"/>
        <v>0</v>
      </c>
      <c r="L18" s="779"/>
      <c r="M18" s="88">
        <f t="shared" si="4"/>
        <v>0</v>
      </c>
    </row>
    <row r="19" spans="2:13" ht="13.5" thickBot="1">
      <c r="B19" s="755"/>
      <c r="C19" s="768"/>
      <c r="D19" s="768"/>
      <c r="E19" s="754"/>
      <c r="F19" s="754"/>
      <c r="G19" s="776">
        <f t="shared" si="1"/>
        <v>0</v>
      </c>
      <c r="H19" s="773"/>
      <c r="I19" s="785" t="str">
        <f t="shared" si="2"/>
        <v>Completar</v>
      </c>
      <c r="K19" s="88">
        <f t="shared" si="3"/>
        <v>0</v>
      </c>
      <c r="L19" s="779"/>
      <c r="M19" s="88">
        <f t="shared" si="4"/>
        <v>0</v>
      </c>
    </row>
    <row r="20" spans="2:13" ht="13.5" thickBot="1">
      <c r="B20" s="756"/>
      <c r="C20" s="769"/>
      <c r="D20" s="769"/>
      <c r="E20" s="757"/>
      <c r="F20" s="757"/>
      <c r="G20" s="777">
        <f t="shared" si="1"/>
        <v>0</v>
      </c>
      <c r="H20" s="782"/>
      <c r="I20" s="786" t="str">
        <f t="shared" si="2"/>
        <v>Completar</v>
      </c>
      <c r="J20" s="784"/>
      <c r="K20" s="89">
        <f t="shared" si="3"/>
        <v>0</v>
      </c>
      <c r="L20" s="780"/>
      <c r="M20" s="89">
        <f t="shared" si="4"/>
        <v>0</v>
      </c>
    </row>
    <row r="21" spans="2:13">
      <c r="I21" s="783"/>
    </row>
    <row r="23" spans="2:13">
      <c r="B23" t="s">
        <v>843</v>
      </c>
    </row>
  </sheetData>
  <sheetProtection algorithmName="SHA-512" hashValue="uVw3rOsgENPa1OP76Ui1x7pbkmDYHhieMdUsCi0zVlMgc3oK0GcIuHr6Ceib78O/5n5dy4bOgeZICmTyUnV43Q==" saltValue="COIQ7kER7+nJrdwjj6OP0A==" spinCount="100000" sheet="1" objects="1" scenarios="1"/>
  <mergeCells count="3">
    <mergeCell ref="B3:I3"/>
    <mergeCell ref="N8:N10"/>
    <mergeCell ref="K3:M3"/>
  </mergeCells>
  <conditionalFormatting sqref="I5:I20">
    <cfRule type="containsText" dxfId="61" priority="1" operator="containsText" text="No cumple">
      <formula>NOT(ISERROR(SEARCH("No cumple",I5)))</formula>
    </cfRule>
    <cfRule type="containsText" dxfId="60" priority="2" operator="containsText" text="Cumple">
      <formula>NOT(ISERROR(SEARCH("Cumple",I5)))</formula>
    </cfRule>
  </conditionalFormatting>
  <pageMargins left="0.7" right="0.7" top="0.98624999999999996" bottom="0.75" header="0.3" footer="0.3"/>
  <pageSetup paperSize="9" scale="81" orientation="landscape" r:id="rId1"/>
  <headerFooter>
    <oddHeader>&amp;L&amp;G</oddHeader>
    <oddFooter>&amp;L&amp;D&amp;R&amp;A</oddFooter>
  </headerFooter>
  <ignoredErrors>
    <ignoredError sqref="G6:G20" unlockedFormula="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E847B-E5B3-4C41-9ED5-92B92FFD9F5C}">
  <dimension ref="A1:S58"/>
  <sheetViews>
    <sheetView showGridLines="0" zoomScaleNormal="100" zoomScalePageLayoutView="80" workbookViewId="0">
      <selection activeCell="H21" sqref="H21:H28"/>
    </sheetView>
  </sheetViews>
  <sheetFormatPr defaultColWidth="8.7109375" defaultRowHeight="12.75"/>
  <cols>
    <col min="1" max="1" width="5.28515625" customWidth="1"/>
    <col min="2" max="2" width="25.5703125" customWidth="1"/>
    <col min="3" max="3" width="27.7109375" customWidth="1"/>
    <col min="4" max="4" width="28.7109375" customWidth="1"/>
    <col min="5" max="5" width="19" customWidth="1"/>
    <col min="6" max="8" width="19.5703125" customWidth="1"/>
    <col min="9" max="9" width="4.7109375" customWidth="1"/>
    <col min="10" max="10" width="15.28515625" customWidth="1"/>
    <col min="11" max="11" width="10.28515625" customWidth="1"/>
    <col min="18" max="18" width="20.42578125" hidden="1" customWidth="1"/>
    <col min="19" max="19" width="0" hidden="1" customWidth="1"/>
  </cols>
  <sheetData>
    <row r="1" spans="1:19" s="117" customFormat="1" ht="26.85" customHeight="1">
      <c r="A1" s="115" t="s">
        <v>844</v>
      </c>
      <c r="B1" s="116" t="s">
        <v>845</v>
      </c>
      <c r="C1" s="116" t="s">
        <v>846</v>
      </c>
      <c r="D1" s="116"/>
      <c r="E1" s="116"/>
      <c r="F1" s="116" t="s">
        <v>847</v>
      </c>
      <c r="G1" s="116"/>
      <c r="H1" s="116"/>
    </row>
    <row r="2" spans="1:19" ht="13.5" thickBot="1"/>
    <row r="3" spans="1:19" ht="44.1" customHeight="1" thickBot="1">
      <c r="B3" s="277" t="s">
        <v>848</v>
      </c>
      <c r="C3" s="49" t="s">
        <v>621</v>
      </c>
      <c r="D3" s="49" t="s">
        <v>849</v>
      </c>
      <c r="E3" s="49" t="s">
        <v>850</v>
      </c>
      <c r="F3" s="49" t="s">
        <v>628</v>
      </c>
      <c r="G3" s="49" t="s">
        <v>851</v>
      </c>
      <c r="H3" s="50" t="s">
        <v>177</v>
      </c>
    </row>
    <row r="4" spans="1:19">
      <c r="B4" s="477"/>
      <c r="C4" s="289"/>
      <c r="D4" s="289"/>
      <c r="E4" s="276"/>
      <c r="F4" s="480"/>
      <c r="G4" s="480"/>
      <c r="H4" s="968" t="str">
        <f>IF(OR(E4=0,G4=0),"Completar información",IF(AND(E4="Si",G4&lt;=5),"Cumple","No cumple"))</f>
        <v>Completar información</v>
      </c>
    </row>
    <row r="5" spans="1:19">
      <c r="B5" s="478"/>
      <c r="C5" s="290"/>
      <c r="D5" s="290"/>
      <c r="E5" s="78"/>
      <c r="F5" s="482"/>
      <c r="G5" s="482"/>
      <c r="H5" s="969" t="str">
        <f t="shared" ref="H5:H8" si="0">IF(OR(E5=0,G5=0),"Completar información",IF(AND(E5="Si",G5&lt;=5),"Cumple","No cumple"))</f>
        <v>Completar información</v>
      </c>
    </row>
    <row r="6" spans="1:19">
      <c r="B6" s="478"/>
      <c r="C6" s="290"/>
      <c r="D6" s="290"/>
      <c r="E6" s="78"/>
      <c r="F6" s="482"/>
      <c r="G6" s="482"/>
      <c r="H6" s="969" t="str">
        <f t="shared" si="0"/>
        <v>Completar información</v>
      </c>
    </row>
    <row r="7" spans="1:19">
      <c r="B7" s="478"/>
      <c r="C7" s="290"/>
      <c r="D7" s="290"/>
      <c r="E7" s="78"/>
      <c r="F7" s="482"/>
      <c r="G7" s="482"/>
      <c r="H7" s="969" t="str">
        <f t="shared" si="0"/>
        <v>Completar información</v>
      </c>
    </row>
    <row r="8" spans="1:19" ht="13.5" thickBot="1">
      <c r="B8" s="479"/>
      <c r="C8" s="291"/>
      <c r="D8" s="291"/>
      <c r="E8" s="79"/>
      <c r="F8" s="484"/>
      <c r="G8" s="484"/>
      <c r="H8" s="970" t="str">
        <f t="shared" si="0"/>
        <v>Completar información</v>
      </c>
    </row>
    <row r="9" spans="1:19" ht="26.25" customHeight="1" thickBot="1">
      <c r="B9" s="4" t="s">
        <v>852</v>
      </c>
    </row>
    <row r="10" spans="1:19" ht="26.25" customHeight="1" thickBot="1">
      <c r="B10" s="151" t="s">
        <v>853</v>
      </c>
      <c r="C10" s="58" t="s">
        <v>621</v>
      </c>
      <c r="D10" s="58" t="s">
        <v>849</v>
      </c>
      <c r="E10" s="58" t="s">
        <v>628</v>
      </c>
      <c r="F10" s="58" t="s">
        <v>854</v>
      </c>
      <c r="G10" s="58" t="s">
        <v>855</v>
      </c>
      <c r="H10" s="59" t="s">
        <v>856</v>
      </c>
      <c r="J10" s="1534" t="s">
        <v>857</v>
      </c>
      <c r="K10" s="1534"/>
      <c r="L10" s="1534"/>
      <c r="M10" s="1534"/>
      <c r="N10" s="1534"/>
      <c r="O10" s="1534"/>
      <c r="P10" s="1534"/>
    </row>
    <row r="11" spans="1:19">
      <c r="B11" s="477"/>
      <c r="C11" s="289"/>
      <c r="D11" s="289"/>
      <c r="E11" s="486"/>
      <c r="F11" s="974"/>
      <c r="G11" s="971" t="str">
        <f>IFERROR(VLOOKUP(B11,$R$13:$S$15,2,0),"")</f>
        <v/>
      </c>
      <c r="H11" s="766"/>
      <c r="J11" s="1534"/>
      <c r="K11" s="1534"/>
      <c r="L11" s="1534"/>
      <c r="M11" s="1534"/>
      <c r="N11" s="1534"/>
      <c r="O11" s="1534"/>
      <c r="P11" s="1534"/>
    </row>
    <row r="12" spans="1:19">
      <c r="B12" s="478"/>
      <c r="C12" s="290"/>
      <c r="D12" s="290"/>
      <c r="E12" s="482"/>
      <c r="F12" s="975"/>
      <c r="G12" s="972" t="str">
        <f t="shared" ref="G12:G18" si="1">IFERROR(VLOOKUP(B12,$R$13:$S$15,2,0),"")</f>
        <v/>
      </c>
      <c r="H12" s="483"/>
      <c r="J12" s="1534"/>
      <c r="K12" s="1534"/>
      <c r="L12" s="1534"/>
      <c r="M12" s="1534"/>
      <c r="N12" s="1534"/>
      <c r="O12" s="1534"/>
      <c r="P12" s="1534"/>
      <c r="R12" s="4" t="s">
        <v>858</v>
      </c>
      <c r="S12" t="s">
        <v>859</v>
      </c>
    </row>
    <row r="13" spans="1:19">
      <c r="B13" s="478"/>
      <c r="C13" s="290"/>
      <c r="D13" s="290"/>
      <c r="E13" s="482"/>
      <c r="F13" s="975"/>
      <c r="G13" s="972" t="str">
        <f t="shared" si="1"/>
        <v/>
      </c>
      <c r="H13" s="483"/>
      <c r="J13" s="1534"/>
      <c r="K13" s="1534"/>
      <c r="L13" s="1534"/>
      <c r="M13" s="1534"/>
      <c r="N13" s="1534"/>
      <c r="O13" s="1534"/>
      <c r="P13" s="1534"/>
      <c r="R13" t="s">
        <v>860</v>
      </c>
      <c r="S13">
        <v>6</v>
      </c>
    </row>
    <row r="14" spans="1:19">
      <c r="B14" s="478"/>
      <c r="C14" s="290"/>
      <c r="D14" s="290"/>
      <c r="E14" s="482"/>
      <c r="F14" s="975"/>
      <c r="G14" s="972" t="str">
        <f t="shared" si="1"/>
        <v/>
      </c>
      <c r="H14" s="483"/>
      <c r="J14" s="1534"/>
      <c r="K14" s="1534"/>
      <c r="L14" s="1534"/>
      <c r="M14" s="1534"/>
      <c r="N14" s="1534"/>
      <c r="O14" s="1534"/>
      <c r="P14" s="1534"/>
      <c r="R14" t="s">
        <v>861</v>
      </c>
      <c r="S14">
        <v>6</v>
      </c>
    </row>
    <row r="15" spans="1:19">
      <c r="B15" s="478"/>
      <c r="C15" s="290"/>
      <c r="D15" s="290"/>
      <c r="E15" s="482"/>
      <c r="F15" s="975"/>
      <c r="G15" s="972" t="str">
        <f t="shared" si="1"/>
        <v/>
      </c>
      <c r="H15" s="483"/>
      <c r="J15" s="1534"/>
      <c r="K15" s="1534"/>
      <c r="L15" s="1534"/>
      <c r="M15" s="1534"/>
      <c r="N15" s="1534"/>
      <c r="O15" s="1534"/>
      <c r="P15" s="1534"/>
      <c r="R15" t="s">
        <v>862</v>
      </c>
      <c r="S15">
        <v>8</v>
      </c>
    </row>
    <row r="16" spans="1:19">
      <c r="B16" s="478"/>
      <c r="C16" s="290"/>
      <c r="D16" s="290"/>
      <c r="E16" s="482"/>
      <c r="F16" s="975"/>
      <c r="G16" s="972" t="str">
        <f t="shared" si="1"/>
        <v/>
      </c>
      <c r="H16" s="483"/>
    </row>
    <row r="17" spans="2:19">
      <c r="B17" s="478"/>
      <c r="C17" s="290"/>
      <c r="D17" s="290"/>
      <c r="E17" s="482"/>
      <c r="F17" s="975"/>
      <c r="G17" s="972" t="str">
        <f t="shared" si="1"/>
        <v/>
      </c>
      <c r="H17" s="483"/>
    </row>
    <row r="18" spans="2:19" ht="13.5" thickBot="1">
      <c r="B18" s="479"/>
      <c r="C18" s="291"/>
      <c r="D18" s="291"/>
      <c r="E18" s="484"/>
      <c r="F18" s="976"/>
      <c r="G18" s="973" t="str">
        <f t="shared" si="1"/>
        <v/>
      </c>
      <c r="H18" s="485"/>
    </row>
    <row r="19" spans="2:19" ht="28.5" customHeight="1" thickBot="1">
      <c r="B19" s="4" t="s">
        <v>863</v>
      </c>
    </row>
    <row r="20" spans="2:19" ht="26.25" customHeight="1" thickBot="1">
      <c r="B20" s="151" t="s">
        <v>853</v>
      </c>
      <c r="C20" s="58" t="s">
        <v>621</v>
      </c>
      <c r="D20" s="58" t="s">
        <v>849</v>
      </c>
      <c r="E20" s="58" t="s">
        <v>628</v>
      </c>
      <c r="F20" s="58" t="s">
        <v>854</v>
      </c>
      <c r="G20" s="58" t="s">
        <v>855</v>
      </c>
      <c r="H20" s="59" t="s">
        <v>856</v>
      </c>
      <c r="J20" s="1534" t="s">
        <v>857</v>
      </c>
      <c r="K20" s="1534"/>
      <c r="L20" s="1534"/>
      <c r="M20" s="1534"/>
      <c r="N20" s="1534"/>
      <c r="O20" s="1534"/>
      <c r="P20" s="1534"/>
      <c r="R20" s="4" t="s">
        <v>864</v>
      </c>
      <c r="S20" t="s">
        <v>859</v>
      </c>
    </row>
    <row r="21" spans="2:19">
      <c r="B21" s="477"/>
      <c r="C21" s="289"/>
      <c r="D21" s="289"/>
      <c r="E21" s="486"/>
      <c r="F21" s="974"/>
      <c r="G21" s="971" t="str">
        <f>IFERROR(VLOOKUP(B21,$R$21:$S$23,2,0),"")</f>
        <v/>
      </c>
      <c r="H21" s="766"/>
      <c r="J21" s="1534"/>
      <c r="K21" s="1534"/>
      <c r="L21" s="1534"/>
      <c r="M21" s="1534"/>
      <c r="N21" s="1534"/>
      <c r="O21" s="1534"/>
      <c r="P21" s="1534"/>
      <c r="R21" t="s">
        <v>865</v>
      </c>
      <c r="S21">
        <v>6</v>
      </c>
    </row>
    <row r="22" spans="2:19">
      <c r="B22" s="478"/>
      <c r="C22" s="290"/>
      <c r="D22" s="290"/>
      <c r="E22" s="482"/>
      <c r="F22" s="975"/>
      <c r="G22" s="972" t="str">
        <f t="shared" ref="G22:G28" si="2">IFERROR(VLOOKUP(B22,$R$21:$S$23,2,0),"")</f>
        <v/>
      </c>
      <c r="H22" s="483"/>
      <c r="J22" s="1534"/>
      <c r="K22" s="1534"/>
      <c r="L22" s="1534"/>
      <c r="M22" s="1534"/>
      <c r="N22" s="1534"/>
      <c r="O22" s="1534"/>
      <c r="P22" s="1534"/>
      <c r="R22" t="s">
        <v>866</v>
      </c>
      <c r="S22">
        <v>6</v>
      </c>
    </row>
    <row r="23" spans="2:19">
      <c r="B23" s="478"/>
      <c r="C23" s="290"/>
      <c r="D23" s="290"/>
      <c r="E23" s="482"/>
      <c r="F23" s="975"/>
      <c r="G23" s="972" t="str">
        <f t="shared" si="2"/>
        <v/>
      </c>
      <c r="H23" s="483"/>
      <c r="J23" s="1534"/>
      <c r="K23" s="1534"/>
      <c r="L23" s="1534"/>
      <c r="M23" s="1534"/>
      <c r="N23" s="1534"/>
      <c r="O23" s="1534"/>
      <c r="P23" s="1534"/>
      <c r="R23" t="s">
        <v>867</v>
      </c>
      <c r="S23">
        <v>3.8</v>
      </c>
    </row>
    <row r="24" spans="2:19">
      <c r="B24" s="478"/>
      <c r="C24" s="290"/>
      <c r="D24" s="290"/>
      <c r="E24" s="482"/>
      <c r="F24" s="975"/>
      <c r="G24" s="972" t="str">
        <f t="shared" si="2"/>
        <v/>
      </c>
      <c r="H24" s="483"/>
      <c r="J24" s="1534"/>
      <c r="K24" s="1534"/>
      <c r="L24" s="1534"/>
      <c r="M24" s="1534"/>
      <c r="N24" s="1534"/>
      <c r="O24" s="1534"/>
      <c r="P24" s="1534"/>
    </row>
    <row r="25" spans="2:19">
      <c r="B25" s="478"/>
      <c r="C25" s="290"/>
      <c r="D25" s="290"/>
      <c r="E25" s="482"/>
      <c r="F25" s="975"/>
      <c r="G25" s="972" t="str">
        <f t="shared" si="2"/>
        <v/>
      </c>
      <c r="H25" s="483"/>
      <c r="J25" s="1534"/>
      <c r="K25" s="1534"/>
      <c r="L25" s="1534"/>
      <c r="M25" s="1534"/>
      <c r="N25" s="1534"/>
      <c r="O25" s="1534"/>
      <c r="P25" s="1534"/>
    </row>
    <row r="26" spans="2:19">
      <c r="B26" s="478"/>
      <c r="C26" s="290"/>
      <c r="D26" s="290"/>
      <c r="E26" s="482"/>
      <c r="F26" s="975"/>
      <c r="G26" s="972" t="str">
        <f t="shared" si="2"/>
        <v/>
      </c>
      <c r="H26" s="483"/>
    </row>
    <row r="27" spans="2:19">
      <c r="B27" s="478"/>
      <c r="C27" s="290"/>
      <c r="D27" s="290"/>
      <c r="E27" s="482"/>
      <c r="F27" s="975"/>
      <c r="G27" s="972" t="str">
        <f t="shared" si="2"/>
        <v/>
      </c>
      <c r="H27" s="483"/>
    </row>
    <row r="28" spans="2:19" ht="13.5" thickBot="1">
      <c r="B28" s="479"/>
      <c r="C28" s="291"/>
      <c r="D28" s="291"/>
      <c r="E28" s="484"/>
      <c r="F28" s="976"/>
      <c r="G28" s="973" t="str">
        <f t="shared" si="2"/>
        <v/>
      </c>
      <c r="H28" s="485"/>
    </row>
    <row r="29" spans="2:19" ht="13.5" thickBot="1"/>
    <row r="30" spans="2:19" ht="26.25" thickBot="1">
      <c r="B30" s="277" t="s">
        <v>868</v>
      </c>
      <c r="C30" s="49" t="s">
        <v>869</v>
      </c>
      <c r="D30" s="49" t="s">
        <v>870</v>
      </c>
      <c r="E30" s="1535" t="s">
        <v>871</v>
      </c>
      <c r="F30" s="1436"/>
    </row>
    <row r="31" spans="2:19">
      <c r="B31" s="1536"/>
      <c r="C31" s="1539"/>
      <c r="D31" s="1539"/>
      <c r="E31" s="1542"/>
      <c r="F31" s="1543"/>
    </row>
    <row r="32" spans="2:19">
      <c r="B32" s="1537"/>
      <c r="C32" s="1540"/>
      <c r="D32" s="1540"/>
      <c r="E32" s="1544"/>
      <c r="F32" s="1545"/>
    </row>
    <row r="33" spans="2:6" ht="13.5" thickBot="1">
      <c r="B33" s="1538"/>
      <c r="C33" s="1541"/>
      <c r="D33" s="1541"/>
      <c r="E33" s="1546"/>
      <c r="F33" s="1547"/>
    </row>
    <row r="50" spans="2:8">
      <c r="B50" s="737" t="s">
        <v>872</v>
      </c>
    </row>
    <row r="58" spans="2:8" ht="319.35000000000002" customHeight="1">
      <c r="B58" s="1481" t="s">
        <v>873</v>
      </c>
      <c r="C58" s="1481"/>
      <c r="D58" s="1481"/>
      <c r="E58" s="1481"/>
      <c r="F58" s="1481"/>
      <c r="G58" s="1481"/>
      <c r="H58" s="1481"/>
    </row>
  </sheetData>
  <sheetProtection algorithmName="SHA-512" hashValue="jUjDP3mg7cqlZa/jF4qy5EDMT0O3Oxf1KWS646UtS+EvM1SicelBTKJBqI/oShKJeThiwryJDr/KFnGwyDmcmA==" saltValue="B2kMWeg8KFRT5bODL0GeGw==" spinCount="100000" sheet="1" objects="1" scenarios="1"/>
  <mergeCells count="8">
    <mergeCell ref="J20:P25"/>
    <mergeCell ref="J10:P15"/>
    <mergeCell ref="B58:H58"/>
    <mergeCell ref="E30:F30"/>
    <mergeCell ref="B31:B33"/>
    <mergeCell ref="C31:C33"/>
    <mergeCell ref="D31:D33"/>
    <mergeCell ref="E31:F33"/>
  </mergeCells>
  <phoneticPr fontId="17" type="noConversion"/>
  <conditionalFormatting sqref="E11:E17">
    <cfRule type="cellIs" dxfId="59" priority="23" operator="equal">
      <formula>"SI"</formula>
    </cfRule>
  </conditionalFormatting>
  <conditionalFormatting sqref="E11:E18 E21:E28">
    <cfRule type="cellIs" dxfId="58" priority="20" operator="equal">
      <formula>"NO"</formula>
    </cfRule>
    <cfRule type="containsText" dxfId="57" priority="61" operator="containsText" text="SI">
      <formula>NOT(ISERROR(SEARCH("SI",E11)))</formula>
    </cfRule>
    <cfRule type="containsText" dxfId="56" priority="62" operator="containsText" text="No tiene">
      <formula>NOT(ISERROR(SEARCH("No tiene",E11)))</formula>
    </cfRule>
    <cfRule type="containsText" dxfId="55" priority="63" operator="containsText" text="Si tiene">
      <formula>NOT(ISERROR(SEARCH("Si tiene",E11)))</formula>
    </cfRule>
    <cfRule type="containsText" dxfId="54" priority="64" operator="containsText" text="Listo">
      <formula>NOT(ISERROR(SEARCH("Listo",E11)))</formula>
    </cfRule>
    <cfRule type="containsText" dxfId="53" priority="65" operator="containsText" text="Pendiente">
      <formula>NOT(ISERROR(SEARCH("Pendiente",E11)))</formula>
    </cfRule>
  </conditionalFormatting>
  <conditionalFormatting sqref="E21:E27">
    <cfRule type="cellIs" dxfId="52" priority="4" operator="equal">
      <formula>"SI"</formula>
    </cfRule>
  </conditionalFormatting>
  <conditionalFormatting sqref="E21:E28 E11:E18">
    <cfRule type="cellIs" dxfId="51" priority="19" operator="equal">
      <formula>"SI"</formula>
    </cfRule>
  </conditionalFormatting>
  <conditionalFormatting sqref="F11:F18 F21:F28">
    <cfRule type="containsBlanks" dxfId="50" priority="1">
      <formula>LEN(TRIM(F11))=0</formula>
    </cfRule>
    <cfRule type="cellIs" dxfId="49" priority="2" operator="lessThanOrEqual">
      <formula>G11</formula>
    </cfRule>
  </conditionalFormatting>
  <conditionalFormatting sqref="H4:H8">
    <cfRule type="containsText" dxfId="48" priority="5" operator="containsText" text="No cumple">
      <formula>NOT(ISERROR(SEARCH("No cumple",H4)))</formula>
    </cfRule>
    <cfRule type="containsText" dxfId="47" priority="6" operator="containsText" text="Cumple">
      <formula>NOT(ISERROR(SEARCH("Cumple",H4)))</formula>
    </cfRule>
  </conditionalFormatting>
  <conditionalFormatting sqref="I11:I15 I16:J18 I21:I25 I26:J28">
    <cfRule type="containsText" dxfId="46" priority="68" operator="containsText" text="No tiene">
      <formula>NOT(ISERROR(SEARCH("No tiene",I11)))</formula>
    </cfRule>
    <cfRule type="containsText" dxfId="45" priority="69" operator="containsText" text="Tiene">
      <formula>NOT(ISERROR(SEARCH("Tiene",I11)))</formula>
    </cfRule>
  </conditionalFormatting>
  <conditionalFormatting sqref="I4:J8 I31:J33">
    <cfRule type="containsText" dxfId="44" priority="81" operator="containsText" text="No tiene">
      <formula>NOT(ISERROR(SEARCH("No tiene",I4)))</formula>
    </cfRule>
    <cfRule type="containsText" dxfId="43" priority="82" operator="containsText" text="Tiene">
      <formula>NOT(ISERROR(SEARCH("Tiene",I4)))</formula>
    </cfRule>
  </conditionalFormatting>
  <conditionalFormatting sqref="K4:K8">
    <cfRule type="containsText" dxfId="42" priority="79" operator="containsText" text="Listo">
      <formula>NOT(ISERROR(SEARCH("Listo",K4)))</formula>
    </cfRule>
    <cfRule type="containsText" dxfId="41" priority="80" operator="containsText" text="Pendiente">
      <formula>NOT(ISERROR(SEARCH("Pendiente",K4)))</formula>
    </cfRule>
  </conditionalFormatting>
  <conditionalFormatting sqref="K16:K18 K26:K28">
    <cfRule type="containsText" dxfId="40" priority="66" operator="containsText" text="Listo">
      <formula>NOT(ISERROR(SEARCH("Listo",K16)))</formula>
    </cfRule>
    <cfRule type="containsText" dxfId="39" priority="67" operator="containsText" text="Pendiente">
      <formula>NOT(ISERROR(SEARCH("Pendiente",K16)))</formula>
    </cfRule>
  </conditionalFormatting>
  <dataValidations count="5">
    <dataValidation type="list" allowBlank="1" showInputMessage="1" showErrorMessage="1" sqref="E4:F8 E11:E18 E21:E28" xr:uid="{EFECEDE3-5747-4567-BB8B-68334654FADD}">
      <formula1>"SI,NO"</formula1>
    </dataValidation>
    <dataValidation type="list" allowBlank="1" showInputMessage="1" showErrorMessage="1" sqref="F4:F8 E11:E18 E21:E28" xr:uid="{512F7CFA-2C65-4111-B816-50C3F5CF79D6}">
      <formula1>"Listo,Pendiente"</formula1>
    </dataValidation>
    <dataValidation type="list" allowBlank="1" showInputMessage="1" showErrorMessage="1" sqref="H11:H18 H21:H28" xr:uid="{20EFA4D4-4387-4E4D-BFB8-E688A09922B4}">
      <formula1>"No Aplica,Sensor,Botón de presión"</formula1>
    </dataValidation>
    <dataValidation type="list" allowBlank="1" showInputMessage="1" showErrorMessage="1" sqref="B11:B18" xr:uid="{F56DC076-38E4-49BD-A0AA-6F6A8ED526B6}">
      <formula1>$R$13:$R$15</formula1>
    </dataValidation>
    <dataValidation type="list" allowBlank="1" showInputMessage="1" showErrorMessage="1" sqref="B21:B28" xr:uid="{EA173F49-55A7-4CDC-BCAC-5E311ABF9534}">
      <formula1>$R$21:$R$23</formula1>
    </dataValidation>
  </dataValidations>
  <pageMargins left="0.7" right="0.7" top="0.98624999999999996" bottom="0.75" header="0.3" footer="0.3"/>
  <pageSetup paperSize="9" scale="55" orientation="landscape" r:id="rId1"/>
  <headerFooter>
    <oddHeader>&amp;L&amp;G</oddHeader>
    <oddFooter>&amp;L&amp;D&amp;R&amp;A</oddFooter>
  </headerFooter>
  <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18708-C9B6-408D-AB04-7FDCF28F7D30}">
  <dimension ref="A1:K186"/>
  <sheetViews>
    <sheetView topLeftCell="H1" zoomScale="85" zoomScaleNormal="85" workbookViewId="0">
      <selection activeCell="J3" sqref="J3:J33"/>
    </sheetView>
  </sheetViews>
  <sheetFormatPr defaultColWidth="8.7109375" defaultRowHeight="12.75"/>
  <cols>
    <col min="2" max="2" width="63.7109375" customWidth="1"/>
    <col min="3" max="3" width="13.28515625" customWidth="1"/>
    <col min="5" max="5" width="17.28515625" hidden="1" customWidth="1"/>
    <col min="6" max="6" width="17.28515625" customWidth="1"/>
    <col min="7" max="7" width="88.7109375" style="14" customWidth="1"/>
    <col min="8" max="8" width="19.28515625" style="15" customWidth="1"/>
    <col min="10" max="11" width="80.7109375" style="14" customWidth="1"/>
  </cols>
  <sheetData>
    <row r="1" spans="1:11" ht="29.1" customHeight="1">
      <c r="A1" s="1548" t="s">
        <v>874</v>
      </c>
      <c r="B1" s="1548"/>
      <c r="C1" s="278" t="s">
        <v>875</v>
      </c>
      <c r="E1" s="278" t="s">
        <v>464</v>
      </c>
      <c r="F1" s="278"/>
    </row>
    <row r="2" spans="1:11">
      <c r="A2" s="1549" t="s">
        <v>876</v>
      </c>
      <c r="B2" s="1549"/>
      <c r="C2" s="279"/>
      <c r="E2" s="15"/>
      <c r="F2" s="15"/>
      <c r="G2" s="14" t="s">
        <v>877</v>
      </c>
      <c r="H2" s="15" t="s">
        <v>878</v>
      </c>
      <c r="J2" s="14" t="s">
        <v>879</v>
      </c>
      <c r="K2" s="14" t="s">
        <v>243</v>
      </c>
    </row>
    <row r="3" spans="1:11" ht="15">
      <c r="F3" s="15"/>
      <c r="G3" s="280" t="s">
        <v>880</v>
      </c>
      <c r="J3" s="281" t="str">
        <f>Tabla2[[#This Row],[Paquete Piso]]</f>
        <v>PAQUETES DE PISO</v>
      </c>
      <c r="K3" s="280">
        <f>'A4'!L11</f>
        <v>0</v>
      </c>
    </row>
    <row r="4" spans="1:11" ht="38.25">
      <c r="A4" s="282" t="s">
        <v>881</v>
      </c>
      <c r="B4" s="280" t="s">
        <v>882</v>
      </c>
      <c r="C4" s="15">
        <v>255</v>
      </c>
      <c r="E4" t="s">
        <v>883</v>
      </c>
      <c r="F4" s="15"/>
      <c r="G4" s="280" t="s">
        <v>884</v>
      </c>
      <c r="H4" s="15" t="s">
        <v>885</v>
      </c>
      <c r="J4" s="280" t="str">
        <f>Tabla2[[#This Row],[Paquete Piso]]</f>
        <v>P1.  Cerámica + Sobrelosa concreto 6cm + barrera de vapor + Aislación térmica 12cm + Barrera Humedad + Radier Hormigón Armado 20cm + Barrera humedad + Ripio 10cm</v>
      </c>
      <c r="K4" s="280">
        <f>'A4'!L12</f>
        <v>0</v>
      </c>
    </row>
    <row r="5" spans="1:11" ht="25.5">
      <c r="A5" s="282" t="s">
        <v>886</v>
      </c>
      <c r="B5" s="280" t="s">
        <v>887</v>
      </c>
      <c r="C5" s="15">
        <v>211</v>
      </c>
      <c r="E5" t="s">
        <v>888</v>
      </c>
      <c r="F5" s="15"/>
      <c r="G5" s="280" t="s">
        <v>889</v>
      </c>
      <c r="H5" s="15">
        <v>211</v>
      </c>
      <c r="J5" s="280" t="str">
        <f>Tabla2[[#This Row],[Paquete Piso]]</f>
        <v>P2.  Radier de Hormigón Armado 10cm + Aislación térmica 12cm + polietileno 0,2mm + Ripio 10cm</v>
      </c>
      <c r="K5" s="280">
        <f>'A4'!L13</f>
        <v>0</v>
      </c>
    </row>
    <row r="6" spans="1:11" ht="25.5">
      <c r="A6" s="282" t="s">
        <v>890</v>
      </c>
      <c r="B6" s="280" t="s">
        <v>891</v>
      </c>
      <c r="C6" s="15">
        <v>347</v>
      </c>
      <c r="E6" t="s">
        <v>892</v>
      </c>
      <c r="F6" s="15"/>
      <c r="G6" s="280" t="s">
        <v>893</v>
      </c>
      <c r="H6" s="15">
        <v>347</v>
      </c>
      <c r="J6" s="280" t="str">
        <f>Tabla2[[#This Row],[Paquete Piso]]</f>
        <v>P3.  Ceramicas + sobrelosa concreto 3cm + aislación 2cm + Losa HA 15cm + Aislación 10cm</v>
      </c>
      <c r="K6" s="280">
        <f>'A4'!L14</f>
        <v>0</v>
      </c>
    </row>
    <row r="7" spans="1:11" ht="25.5">
      <c r="A7" s="282" t="s">
        <v>894</v>
      </c>
      <c r="B7" s="280" t="s">
        <v>895</v>
      </c>
      <c r="C7" s="15">
        <v>230</v>
      </c>
      <c r="E7" t="s">
        <v>896</v>
      </c>
      <c r="F7" s="15"/>
      <c r="G7" s="280" t="s">
        <v>897</v>
      </c>
      <c r="H7" s="15">
        <v>230</v>
      </c>
      <c r="J7" s="280" t="str">
        <f>Tabla2[[#This Row],[Paquete Piso]]</f>
        <v>P4.  Ceramicas + lámina de corcho + sobrelosa concreto 8cm + terciado 18mm + aislación 12cm + plancha yesocartón 15mm + terciado 18mm</v>
      </c>
      <c r="K7" s="280">
        <f>'A4'!L15</f>
        <v>0</v>
      </c>
    </row>
    <row r="8" spans="1:11" ht="25.5">
      <c r="A8" s="282" t="s">
        <v>898</v>
      </c>
      <c r="B8" s="280" t="s">
        <v>899</v>
      </c>
      <c r="C8" s="15">
        <v>317</v>
      </c>
      <c r="E8" t="s">
        <v>900</v>
      </c>
      <c r="F8" s="15"/>
      <c r="G8" s="280" t="s">
        <v>901</v>
      </c>
      <c r="H8" s="15">
        <v>317</v>
      </c>
      <c r="J8" s="280" t="str">
        <f>Tabla2[[#This Row],[Paquete Piso]]</f>
        <v>P5.  Cerámica + sobrelosa concreto 3cm + Losa hormigón armado 10cm + polietileno + CLT 17cm</v>
      </c>
      <c r="K8" s="280">
        <f>'A4'!L16</f>
        <v>0</v>
      </c>
    </row>
    <row r="9" spans="1:11" ht="15">
      <c r="A9" s="282" t="s">
        <v>902</v>
      </c>
      <c r="B9" s="280" t="s">
        <v>903</v>
      </c>
      <c r="C9" s="15">
        <v>126</v>
      </c>
      <c r="E9" t="s">
        <v>883</v>
      </c>
      <c r="F9" s="15"/>
      <c r="G9" s="280" t="s">
        <v>904</v>
      </c>
      <c r="H9" s="15">
        <v>126</v>
      </c>
      <c r="J9" s="280" t="str">
        <f>Tabla2[[#This Row],[Paquete Piso]]</f>
        <v>P6.  Losa hormigón armado 15cm + Ripio 50mm</v>
      </c>
      <c r="K9" s="280">
        <f>'A4'!L17</f>
        <v>0</v>
      </c>
    </row>
    <row r="10" spans="1:11" ht="15">
      <c r="A10" s="282" t="s">
        <v>905</v>
      </c>
      <c r="B10" s="280" t="s">
        <v>906</v>
      </c>
      <c r="C10" s="15">
        <v>78</v>
      </c>
      <c r="E10" t="s">
        <v>883</v>
      </c>
      <c r="F10" s="15"/>
      <c r="G10" s="280" t="s">
        <v>907</v>
      </c>
      <c r="H10" s="15">
        <v>78</v>
      </c>
      <c r="J10" s="280" t="str">
        <f>Tabla2[[#This Row],[Paquete Piso]]</f>
        <v>P7.  Cerámica + Losa hormigón armado 10cm + polietileno + Ripio 50mm</v>
      </c>
      <c r="K10" s="280">
        <f>'A4'!L18</f>
        <v>0</v>
      </c>
    </row>
    <row r="11" spans="1:11" ht="15">
      <c r="A11" s="282" t="s">
        <v>908</v>
      </c>
      <c r="B11" s="280" t="s">
        <v>909</v>
      </c>
      <c r="C11" s="15">
        <v>213</v>
      </c>
      <c r="E11" t="s">
        <v>910</v>
      </c>
      <c r="F11" s="15"/>
      <c r="G11" s="280" t="s">
        <v>911</v>
      </c>
      <c r="H11" s="15">
        <v>213</v>
      </c>
      <c r="J11" s="280" t="str">
        <f>Tabla2[[#This Row],[Paquete Piso]]</f>
        <v>P8.  Losa Hormigón Armado 12cm + aislación térmica 80mm + polietileno</v>
      </c>
      <c r="K11" s="280">
        <f>'A4'!L19</f>
        <v>0</v>
      </c>
    </row>
    <row r="12" spans="1:11" ht="15">
      <c r="A12" s="15"/>
      <c r="B12" s="280"/>
      <c r="C12" s="15"/>
      <c r="F12" s="15"/>
      <c r="G12" s="280" t="s">
        <v>912</v>
      </c>
      <c r="J12" s="283" t="s">
        <v>143</v>
      </c>
      <c r="K12" s="280">
        <f>'A4'!L22</f>
        <v>0</v>
      </c>
    </row>
    <row r="13" spans="1:11" ht="15">
      <c r="A13" s="1550" t="s">
        <v>913</v>
      </c>
      <c r="B13" s="1550"/>
      <c r="C13" s="284" t="s">
        <v>914</v>
      </c>
      <c r="F13" s="15"/>
      <c r="G13" s="280" t="s">
        <v>915</v>
      </c>
      <c r="J13" s="281" t="str">
        <f>G13</f>
        <v>PAQUETE CIELOS Y CUBIERTAS</v>
      </c>
      <c r="K13" s="280">
        <f>'A4'!L23</f>
        <v>0</v>
      </c>
    </row>
    <row r="14" spans="1:11" ht="63.75">
      <c r="A14" s="15" t="s">
        <v>916</v>
      </c>
      <c r="B14" s="280" t="s">
        <v>917</v>
      </c>
      <c r="C14" s="15">
        <v>2.5</v>
      </c>
      <c r="E14" t="s">
        <v>918</v>
      </c>
      <c r="F14" s="15"/>
      <c r="G14" s="285" t="s">
        <v>919</v>
      </c>
      <c r="H14" s="15">
        <f>C14</f>
        <v>2.5</v>
      </c>
      <c r="J14" s="280" t="str">
        <f>G14</f>
        <v xml:space="preserve">C1.  Plancha Yeso Cartón de 10 mm en listoneado de madera 2x2" + estructura cerchas y costaneras de madera + cámara de aire entre plancha de cielo y aislante 50mm </v>
      </c>
      <c r="K14" s="280">
        <f>'A4'!L24</f>
        <v>0</v>
      </c>
    </row>
    <row r="15" spans="1:11" ht="38.25">
      <c r="A15" s="15" t="s">
        <v>920</v>
      </c>
      <c r="B15" s="40" t="s">
        <v>921</v>
      </c>
      <c r="C15" s="15">
        <v>10.5</v>
      </c>
      <c r="E15" t="s">
        <v>922</v>
      </c>
      <c r="F15" s="15"/>
      <c r="G15" s="285" t="s">
        <v>923</v>
      </c>
      <c r="H15" s="15">
        <f t="shared" ref="H15:H20" si="0">C15</f>
        <v>10.5</v>
      </c>
      <c r="J15" s="280" t="str">
        <f t="shared" ref="J15:J20" si="1">G15</f>
        <v>C2.  Panel TECHOLISTO, Plancha yesocartón 10mm + plancha de acero 0,5mm +  poliestireno expandido 120mm + plancha acero 0,5 mm prepintada con 5 μ de primer y 20 μ de pintura de terminación.</v>
      </c>
      <c r="K15" s="280">
        <f>'A4'!L25</f>
        <v>0</v>
      </c>
    </row>
    <row r="16" spans="1:11" ht="60.6" customHeight="1">
      <c r="A16" s="15" t="s">
        <v>924</v>
      </c>
      <c r="B16" s="40" t="s">
        <v>925</v>
      </c>
      <c r="C16" s="15">
        <v>14.6</v>
      </c>
      <c r="E16" t="s">
        <v>926</v>
      </c>
      <c r="F16" s="15"/>
      <c r="G16" s="285" t="s">
        <v>927</v>
      </c>
      <c r="H16" s="15">
        <f t="shared" si="0"/>
        <v>14.6</v>
      </c>
      <c r="J16" s="280" t="str">
        <f t="shared" si="1"/>
        <v>C3.  Plancha yesocartón 10mm + Aislación Poliestireno Expandido 100mm con perfiles metálicos incorporados + Malla de acero electrosoldada + Losa de hormigón espesor promedio 65mm + Sobrelosa de hormigón liviano 30mm</v>
      </c>
      <c r="K16" s="280">
        <f>'A4'!L26</f>
        <v>0</v>
      </c>
    </row>
    <row r="17" spans="1:11" ht="60.6" customHeight="1">
      <c r="A17" s="15" t="s">
        <v>928</v>
      </c>
      <c r="B17" s="280" t="s">
        <v>929</v>
      </c>
      <c r="C17" s="15">
        <v>199</v>
      </c>
      <c r="E17" t="s">
        <v>930</v>
      </c>
      <c r="F17" s="15"/>
      <c r="G17" s="285" t="s">
        <v>931</v>
      </c>
      <c r="H17" s="15">
        <f t="shared" si="0"/>
        <v>199</v>
      </c>
      <c r="J17" s="280" t="str">
        <f t="shared" si="1"/>
        <v>C4.  Losa de Hormigón Armado 100mm + Plancha Poliestireno Expandido 110mm + Sobrelosa Hormigón Liviano 30mm</v>
      </c>
      <c r="K17" s="280">
        <f>'A4'!L27</f>
        <v>0</v>
      </c>
    </row>
    <row r="18" spans="1:11" ht="60.6" customHeight="1">
      <c r="A18" s="15" t="s">
        <v>932</v>
      </c>
      <c r="B18" s="280" t="s">
        <v>933</v>
      </c>
      <c r="C18" s="15">
        <v>14.7</v>
      </c>
      <c r="E18" t="s">
        <v>934</v>
      </c>
      <c r="F18" s="15"/>
      <c r="G18" s="285" t="s">
        <v>935</v>
      </c>
      <c r="H18" s="15">
        <f t="shared" si="0"/>
        <v>14.7</v>
      </c>
      <c r="J18" s="280" t="str">
        <f t="shared" si="1"/>
        <v>C5.  Plancha yesocartón 10mm + Aislación Poliestireno Expandido 100mm + Losa de Hormigón Armado 100mm + Sobrelosa Hormigón Liviano 30mm</v>
      </c>
      <c r="K18" s="280">
        <f>'A4'!L28</f>
        <v>0</v>
      </c>
    </row>
    <row r="19" spans="1:11" ht="60.6" customHeight="1">
      <c r="A19" s="15" t="s">
        <v>936</v>
      </c>
      <c r="B19" s="280" t="s">
        <v>937</v>
      </c>
      <c r="C19" s="15">
        <v>43</v>
      </c>
      <c r="E19" t="s">
        <v>934</v>
      </c>
      <c r="F19" s="15"/>
      <c r="G19" s="285" t="s">
        <v>938</v>
      </c>
      <c r="H19" s="15">
        <f t="shared" si="0"/>
        <v>43</v>
      </c>
      <c r="J19" s="280" t="str">
        <f t="shared" si="1"/>
        <v>C6.  Plancha yesocartón 10mm + Losa de Hormigón Armado 100mm + Porcelanato 10mm</v>
      </c>
      <c r="K19" s="280">
        <f>'A4'!L29</f>
        <v>0</v>
      </c>
    </row>
    <row r="20" spans="1:11" ht="60.6" customHeight="1">
      <c r="A20" s="15" t="s">
        <v>939</v>
      </c>
      <c r="B20" s="280" t="s">
        <v>940</v>
      </c>
      <c r="C20" s="15">
        <v>50</v>
      </c>
      <c r="E20" t="s">
        <v>896</v>
      </c>
      <c r="F20" s="15"/>
      <c r="G20" s="285" t="s">
        <v>941</v>
      </c>
      <c r="H20" s="15">
        <f t="shared" si="0"/>
        <v>50</v>
      </c>
      <c r="J20" s="280" t="str">
        <f t="shared" si="1"/>
        <v>C7.  Terciado 18mm + plancha yesocartón 15mm + aislación 12cm + terciado 18mm + sobrelosa concreto 8cm + lámina de corcho + cerámicas</v>
      </c>
      <c r="K20" s="280">
        <f>'A4'!L30</f>
        <v>0</v>
      </c>
    </row>
    <row r="21" spans="1:11">
      <c r="F21" s="15"/>
      <c r="G21" s="280" t="s">
        <v>942</v>
      </c>
      <c r="J21" s="286" t="s">
        <v>143</v>
      </c>
      <c r="K21" s="280">
        <f>'A4'!L31</f>
        <v>0</v>
      </c>
    </row>
    <row r="22" spans="1:11" ht="15">
      <c r="A22" s="1551" t="s">
        <v>943</v>
      </c>
      <c r="B22" s="1551"/>
      <c r="C22" s="287" t="s">
        <v>914</v>
      </c>
      <c r="F22" s="15"/>
      <c r="G22" s="280" t="s">
        <v>944</v>
      </c>
      <c r="J22" s="281" t="str">
        <f>G22</f>
        <v>PAQUETES MUROS</v>
      </c>
      <c r="K22" s="280">
        <f>'A4'!L32</f>
        <v>0</v>
      </c>
    </row>
    <row r="23" spans="1:11" ht="38.25">
      <c r="A23" s="15" t="s">
        <v>945</v>
      </c>
      <c r="B23" s="40" t="s">
        <v>946</v>
      </c>
      <c r="C23" s="15">
        <v>389</v>
      </c>
      <c r="E23" t="s">
        <v>883</v>
      </c>
      <c r="F23" s="15"/>
      <c r="G23" s="285" t="s">
        <v>947</v>
      </c>
      <c r="H23" s="15">
        <f>C23</f>
        <v>389</v>
      </c>
      <c r="J23" s="280" t="str">
        <f t="shared" ref="J23:J33" si="2">G23</f>
        <v>M1.  Yesocartón 10mm + Albañilería 24cm + Aislación térmica 14cm + Cámara de aire 4cm con estructura de aluminio + Revestimiento de fachada</v>
      </c>
      <c r="K23" s="280">
        <f>'A4'!L33</f>
        <v>0</v>
      </c>
    </row>
    <row r="24" spans="1:11" ht="25.5">
      <c r="A24" s="15" t="s">
        <v>948</v>
      </c>
      <c r="B24" s="40" t="s">
        <v>949</v>
      </c>
      <c r="C24" s="15">
        <v>23</v>
      </c>
      <c r="E24" t="s">
        <v>883</v>
      </c>
      <c r="F24" s="15"/>
      <c r="G24" s="285" t="s">
        <v>950</v>
      </c>
      <c r="H24" s="15">
        <f t="shared" ref="H24:H33" si="3">C24</f>
        <v>23</v>
      </c>
      <c r="J24" s="280" t="str">
        <f t="shared" si="2"/>
        <v>M2.  OSB 15mm + Lana mineral 160mm + OSB 15mm + cámara de aire ventilada + Terminación exterior tipo siding</v>
      </c>
      <c r="K24" s="280">
        <f>'A4'!L34</f>
        <v>0</v>
      </c>
    </row>
    <row r="25" spans="1:11" ht="25.5">
      <c r="A25" s="15" t="s">
        <v>951</v>
      </c>
      <c r="B25" s="40" t="s">
        <v>952</v>
      </c>
      <c r="C25" s="15">
        <v>441</v>
      </c>
      <c r="E25" t="s">
        <v>883</v>
      </c>
      <c r="F25" s="15"/>
      <c r="G25" s="285" t="s">
        <v>953</v>
      </c>
      <c r="H25" s="15">
        <f t="shared" si="3"/>
        <v>441</v>
      </c>
      <c r="J25" s="280" t="str">
        <f t="shared" si="2"/>
        <v>M3.  Yesocartón + Ladrillos sólidos + cemento + mortero adhesivo y de refuerzo + aislante tablero de fibra de madera</v>
      </c>
      <c r="K25" s="280">
        <f>'A4'!L35</f>
        <v>0</v>
      </c>
    </row>
    <row r="26" spans="1:11" ht="38.25">
      <c r="A26" s="15" t="s">
        <v>954</v>
      </c>
      <c r="B26" s="40" t="s">
        <v>955</v>
      </c>
      <c r="C26" s="15">
        <v>106</v>
      </c>
      <c r="E26" t="s">
        <v>883</v>
      </c>
      <c r="F26" s="15"/>
      <c r="G26" s="285" t="s">
        <v>956</v>
      </c>
      <c r="H26" s="15">
        <f t="shared" si="3"/>
        <v>106</v>
      </c>
      <c r="J26" s="280" t="str">
        <f t="shared" si="2"/>
        <v>M4.  Plancha yesocartón 10mm + Concreto hormigón 240mm + Estructura de madera con aislante de 100mm entre pies derechos + Membrana de vapor + cámara de aire + terminación tipo siding</v>
      </c>
      <c r="K26" s="280">
        <f>'A4'!L36</f>
        <v>0</v>
      </c>
    </row>
    <row r="27" spans="1:11">
      <c r="A27" s="15" t="s">
        <v>957</v>
      </c>
      <c r="B27" s="40" t="s">
        <v>958</v>
      </c>
      <c r="C27" s="15">
        <v>351</v>
      </c>
      <c r="E27" t="s">
        <v>959</v>
      </c>
      <c r="F27" s="15"/>
      <c r="G27" s="285" t="s">
        <v>960</v>
      </c>
      <c r="H27" s="15">
        <f t="shared" si="3"/>
        <v>351</v>
      </c>
      <c r="J27" s="280" t="str">
        <f t="shared" si="2"/>
        <v>M5.  Hormigón Armado 200mm + Aislante Poliestireno Expandido 80mm</v>
      </c>
      <c r="K27" s="280">
        <f>'A4'!L37</f>
        <v>0</v>
      </c>
    </row>
    <row r="28" spans="1:11" ht="25.5">
      <c r="A28" s="15" t="s">
        <v>961</v>
      </c>
      <c r="B28" s="40" t="s">
        <v>962</v>
      </c>
      <c r="C28" s="15">
        <v>73</v>
      </c>
      <c r="E28" t="s">
        <v>963</v>
      </c>
      <c r="F28" s="15"/>
      <c r="G28" s="285" t="s">
        <v>964</v>
      </c>
      <c r="H28" s="15">
        <f t="shared" si="3"/>
        <v>73</v>
      </c>
      <c r="J28" s="280" t="str">
        <f t="shared" si="2"/>
        <v>M6.  Mortero de cemento 20mm + Ladrillo hecho a máquina 143mm + Mortero de cemento 20mm</v>
      </c>
      <c r="K28" s="280">
        <f>'A4'!L38</f>
        <v>0</v>
      </c>
    </row>
    <row r="29" spans="1:11" ht="25.5">
      <c r="A29" s="15" t="s">
        <v>965</v>
      </c>
      <c r="B29" s="40" t="s">
        <v>966</v>
      </c>
      <c r="C29" s="15">
        <v>26</v>
      </c>
      <c r="E29" t="s">
        <v>967</v>
      </c>
      <c r="F29" s="15"/>
      <c r="G29" s="285" t="s">
        <v>968</v>
      </c>
      <c r="H29" s="15">
        <f t="shared" si="3"/>
        <v>26</v>
      </c>
      <c r="J29" s="280" t="str">
        <f t="shared" si="2"/>
        <v>M7.  Plancha de yesocartón 10mm + Aislante Poliestireno Expandido 30mm + Ladrillo hecho a máquina 143mm + mortero de cemento 20mm</v>
      </c>
      <c r="K29" s="280">
        <f>'A4'!L39</f>
        <v>0</v>
      </c>
    </row>
    <row r="30" spans="1:11" ht="25.5">
      <c r="A30" s="15" t="s">
        <v>969</v>
      </c>
      <c r="B30" s="40" t="s">
        <v>970</v>
      </c>
      <c r="C30" s="15">
        <v>126</v>
      </c>
      <c r="E30" t="s">
        <v>967</v>
      </c>
      <c r="F30" s="15"/>
      <c r="G30" s="285" t="s">
        <v>971</v>
      </c>
      <c r="H30" s="15">
        <f t="shared" si="3"/>
        <v>126</v>
      </c>
      <c r="J30" s="280" t="str">
        <f t="shared" si="2"/>
        <v>M8.  Mortero de cemento 20mm + Ladrillo hecho a máquina 143mm + Aislante Poliestireno Expandido 30mm + Plancha tesocartón 10mm</v>
      </c>
      <c r="K30" s="280">
        <f>'A4'!L40</f>
        <v>0</v>
      </c>
    </row>
    <row r="31" spans="1:11" ht="51">
      <c r="A31" s="15" t="s">
        <v>972</v>
      </c>
      <c r="B31" s="40" t="s">
        <v>973</v>
      </c>
      <c r="C31" s="15">
        <v>27</v>
      </c>
      <c r="E31" t="s">
        <v>974</v>
      </c>
      <c r="F31" s="15"/>
      <c r="G31" s="285" t="s">
        <v>975</v>
      </c>
      <c r="H31" s="15">
        <f t="shared" si="3"/>
        <v>27</v>
      </c>
      <c r="J31" s="280" t="str">
        <f t="shared" si="2"/>
        <v>M9.  Plancha yesocartón 10mm + OSB 18mm + Aislación Poliestireno Expandido 120mm + Plancha yesocartón 10mm + Placa terciado madera pino 15mm + barrera de humedad + cámara ventilada 40mm + tinglado tabla termo tratada 18mm</v>
      </c>
      <c r="K31" s="280">
        <f>'A4'!L41</f>
        <v>0</v>
      </c>
    </row>
    <row r="32" spans="1:11" ht="38.25">
      <c r="A32" s="15" t="s">
        <v>976</v>
      </c>
      <c r="B32" s="40" t="s">
        <v>977</v>
      </c>
      <c r="C32" s="15">
        <v>28</v>
      </c>
      <c r="E32" t="s">
        <v>974</v>
      </c>
      <c r="F32" s="15"/>
      <c r="G32" s="285" t="s">
        <v>978</v>
      </c>
      <c r="H32" s="15">
        <f t="shared" si="3"/>
        <v>28</v>
      </c>
      <c r="J32" s="280" t="str">
        <f t="shared" si="2"/>
        <v>M10.  Capa estuco de mortero o enlucido de yeso 16mm + Aislación Poliestireno Expandido 60mm + barrera de humedad + Concreto hormigón 150mm</v>
      </c>
      <c r="K32" s="280">
        <f>'A4'!L42</f>
        <v>0</v>
      </c>
    </row>
    <row r="33" spans="1:11" ht="51">
      <c r="A33" s="15" t="s">
        <v>979</v>
      </c>
      <c r="B33" s="40" t="s">
        <v>980</v>
      </c>
      <c r="C33" s="15">
        <v>27</v>
      </c>
      <c r="E33" t="s">
        <v>981</v>
      </c>
      <c r="F33" s="15"/>
      <c r="G33" s="285" t="s">
        <v>982</v>
      </c>
      <c r="H33" s="15">
        <f t="shared" si="3"/>
        <v>27</v>
      </c>
      <c r="J33" s="280" t="str">
        <f t="shared" si="2"/>
        <v>M11.  Plancha yesocartón 10mm + Terciado madera estructural 11,1mm + Aislante Lana de Vidrio 120mm con estructura pies derechos de madera + Plancha yesocartón 10mm + membrana hidrófuga + distanciadores horizontales madera pino + revestimiento metálico</v>
      </c>
      <c r="K33" s="280">
        <f>'A4'!L43</f>
        <v>0</v>
      </c>
    </row>
    <row r="34" spans="1:11">
      <c r="G34" s="14" t="str">
        <f t="shared" ref="G34:G97" si="4">_xlfn.CONCAT(A35,".  ",B35)</f>
        <v xml:space="preserve">.  </v>
      </c>
    </row>
    <row r="35" spans="1:11">
      <c r="G35" s="14" t="str">
        <f t="shared" si="4"/>
        <v xml:space="preserve">.  </v>
      </c>
    </row>
    <row r="36" spans="1:11">
      <c r="G36" s="14" t="str">
        <f t="shared" si="4"/>
        <v xml:space="preserve">.  </v>
      </c>
    </row>
    <row r="37" spans="1:11">
      <c r="G37" s="14" t="str">
        <f t="shared" si="4"/>
        <v xml:space="preserve">.  </v>
      </c>
    </row>
    <row r="38" spans="1:11">
      <c r="G38" s="14" t="str">
        <f t="shared" si="4"/>
        <v xml:space="preserve">.  </v>
      </c>
    </row>
    <row r="39" spans="1:11">
      <c r="G39" s="14" t="str">
        <f t="shared" si="4"/>
        <v xml:space="preserve">.  </v>
      </c>
    </row>
    <row r="40" spans="1:11">
      <c r="G40" s="14" t="str">
        <f t="shared" si="4"/>
        <v xml:space="preserve">.  </v>
      </c>
    </row>
    <row r="41" spans="1:11">
      <c r="G41" s="14" t="str">
        <f t="shared" si="4"/>
        <v xml:space="preserve">.  </v>
      </c>
    </row>
    <row r="42" spans="1:11">
      <c r="G42" s="14" t="str">
        <f t="shared" si="4"/>
        <v xml:space="preserve">.  </v>
      </c>
    </row>
    <row r="43" spans="1:11">
      <c r="G43" s="14" t="str">
        <f t="shared" si="4"/>
        <v xml:space="preserve">.  </v>
      </c>
    </row>
    <row r="44" spans="1:11">
      <c r="G44" s="14" t="str">
        <f t="shared" si="4"/>
        <v xml:space="preserve">.  </v>
      </c>
    </row>
    <row r="45" spans="1:11">
      <c r="G45" s="14" t="str">
        <f t="shared" si="4"/>
        <v xml:space="preserve">.  </v>
      </c>
    </row>
    <row r="46" spans="1:11">
      <c r="G46" s="14" t="str">
        <f t="shared" si="4"/>
        <v xml:space="preserve">.  </v>
      </c>
    </row>
    <row r="47" spans="1:11">
      <c r="G47" s="14" t="str">
        <f t="shared" si="4"/>
        <v xml:space="preserve">.  </v>
      </c>
    </row>
    <row r="48" spans="1:11">
      <c r="G48" s="14" t="str">
        <f t="shared" si="4"/>
        <v xml:space="preserve">.  </v>
      </c>
    </row>
    <row r="49" spans="7:7">
      <c r="G49" s="14" t="str">
        <f t="shared" si="4"/>
        <v xml:space="preserve">.  </v>
      </c>
    </row>
    <row r="50" spans="7:7">
      <c r="G50" s="14" t="str">
        <f t="shared" si="4"/>
        <v xml:space="preserve">.  </v>
      </c>
    </row>
    <row r="51" spans="7:7">
      <c r="G51" s="14" t="str">
        <f t="shared" si="4"/>
        <v xml:space="preserve">.  </v>
      </c>
    </row>
    <row r="52" spans="7:7">
      <c r="G52" s="14" t="str">
        <f t="shared" si="4"/>
        <v xml:space="preserve">.  </v>
      </c>
    </row>
    <row r="53" spans="7:7">
      <c r="G53" s="14" t="str">
        <f t="shared" si="4"/>
        <v xml:space="preserve">.  </v>
      </c>
    </row>
    <row r="54" spans="7:7">
      <c r="G54" s="14" t="str">
        <f t="shared" si="4"/>
        <v xml:space="preserve">.  </v>
      </c>
    </row>
    <row r="55" spans="7:7">
      <c r="G55" s="14" t="str">
        <f t="shared" si="4"/>
        <v xml:space="preserve">.  </v>
      </c>
    </row>
    <row r="56" spans="7:7">
      <c r="G56" s="14" t="str">
        <f t="shared" si="4"/>
        <v xml:space="preserve">.  </v>
      </c>
    </row>
    <row r="57" spans="7:7">
      <c r="G57" s="14" t="str">
        <f t="shared" si="4"/>
        <v xml:space="preserve">.  </v>
      </c>
    </row>
    <row r="58" spans="7:7">
      <c r="G58" s="14" t="str">
        <f t="shared" si="4"/>
        <v xml:space="preserve">.  </v>
      </c>
    </row>
    <row r="59" spans="7:7">
      <c r="G59" s="14" t="str">
        <f t="shared" si="4"/>
        <v xml:space="preserve">.  </v>
      </c>
    </row>
    <row r="60" spans="7:7">
      <c r="G60" s="14" t="str">
        <f t="shared" si="4"/>
        <v xml:space="preserve">.  </v>
      </c>
    </row>
    <row r="61" spans="7:7">
      <c r="G61" s="14" t="str">
        <f t="shared" si="4"/>
        <v xml:space="preserve">.  </v>
      </c>
    </row>
    <row r="62" spans="7:7">
      <c r="G62" s="14" t="str">
        <f t="shared" si="4"/>
        <v xml:space="preserve">.  </v>
      </c>
    </row>
    <row r="63" spans="7:7">
      <c r="G63" s="14" t="str">
        <f t="shared" si="4"/>
        <v xml:space="preserve">.  </v>
      </c>
    </row>
    <row r="64" spans="7:7">
      <c r="G64" s="14" t="str">
        <f t="shared" si="4"/>
        <v xml:space="preserve">.  </v>
      </c>
    </row>
    <row r="65" spans="7:7">
      <c r="G65" s="14" t="str">
        <f t="shared" si="4"/>
        <v xml:space="preserve">.  </v>
      </c>
    </row>
    <row r="66" spans="7:7">
      <c r="G66" s="14" t="str">
        <f t="shared" si="4"/>
        <v xml:space="preserve">.  </v>
      </c>
    </row>
    <row r="67" spans="7:7">
      <c r="G67" s="14" t="str">
        <f t="shared" si="4"/>
        <v xml:space="preserve">.  </v>
      </c>
    </row>
    <row r="68" spans="7:7">
      <c r="G68" s="14" t="str">
        <f t="shared" si="4"/>
        <v xml:space="preserve">.  </v>
      </c>
    </row>
    <row r="69" spans="7:7">
      <c r="G69" s="14" t="str">
        <f t="shared" si="4"/>
        <v xml:space="preserve">.  </v>
      </c>
    </row>
    <row r="70" spans="7:7">
      <c r="G70" s="14" t="str">
        <f t="shared" si="4"/>
        <v xml:space="preserve">.  </v>
      </c>
    </row>
    <row r="71" spans="7:7">
      <c r="G71" s="14" t="str">
        <f t="shared" si="4"/>
        <v xml:space="preserve">.  </v>
      </c>
    </row>
    <row r="72" spans="7:7">
      <c r="G72" s="14" t="str">
        <f t="shared" si="4"/>
        <v xml:space="preserve">.  </v>
      </c>
    </row>
    <row r="73" spans="7:7">
      <c r="G73" s="14" t="str">
        <f t="shared" si="4"/>
        <v xml:space="preserve">.  </v>
      </c>
    </row>
    <row r="74" spans="7:7">
      <c r="G74" s="14" t="str">
        <f t="shared" si="4"/>
        <v xml:space="preserve">.  </v>
      </c>
    </row>
    <row r="75" spans="7:7">
      <c r="G75" s="14" t="str">
        <f t="shared" si="4"/>
        <v xml:space="preserve">.  </v>
      </c>
    </row>
    <row r="76" spans="7:7">
      <c r="G76" s="14" t="str">
        <f t="shared" si="4"/>
        <v xml:space="preserve">.  </v>
      </c>
    </row>
    <row r="77" spans="7:7">
      <c r="G77" s="14" t="str">
        <f t="shared" si="4"/>
        <v xml:space="preserve">.  </v>
      </c>
    </row>
    <row r="78" spans="7:7">
      <c r="G78" s="14" t="str">
        <f t="shared" si="4"/>
        <v xml:space="preserve">.  </v>
      </c>
    </row>
    <row r="79" spans="7:7">
      <c r="G79" s="14" t="str">
        <f t="shared" si="4"/>
        <v xml:space="preserve">.  </v>
      </c>
    </row>
    <row r="80" spans="7:7">
      <c r="G80" s="14" t="str">
        <f t="shared" si="4"/>
        <v xml:space="preserve">.  </v>
      </c>
    </row>
    <row r="81" spans="7:7">
      <c r="G81" s="14" t="str">
        <f t="shared" si="4"/>
        <v xml:space="preserve">.  </v>
      </c>
    </row>
    <row r="82" spans="7:7">
      <c r="G82" s="14" t="str">
        <f t="shared" si="4"/>
        <v xml:space="preserve">.  </v>
      </c>
    </row>
    <row r="83" spans="7:7">
      <c r="G83" s="14" t="str">
        <f t="shared" si="4"/>
        <v xml:space="preserve">.  </v>
      </c>
    </row>
    <row r="84" spans="7:7">
      <c r="G84" s="14" t="str">
        <f t="shared" si="4"/>
        <v xml:space="preserve">.  </v>
      </c>
    </row>
    <row r="85" spans="7:7">
      <c r="G85" s="14" t="str">
        <f t="shared" si="4"/>
        <v xml:space="preserve">.  </v>
      </c>
    </row>
    <row r="86" spans="7:7">
      <c r="G86" s="14" t="str">
        <f t="shared" si="4"/>
        <v xml:space="preserve">.  </v>
      </c>
    </row>
    <row r="87" spans="7:7">
      <c r="G87" s="14" t="str">
        <f t="shared" si="4"/>
        <v xml:space="preserve">.  </v>
      </c>
    </row>
    <row r="88" spans="7:7">
      <c r="G88" s="14" t="str">
        <f t="shared" si="4"/>
        <v xml:space="preserve">.  </v>
      </c>
    </row>
    <row r="89" spans="7:7">
      <c r="G89" s="14" t="str">
        <f t="shared" si="4"/>
        <v xml:space="preserve">.  </v>
      </c>
    </row>
    <row r="90" spans="7:7">
      <c r="G90" s="14" t="str">
        <f t="shared" si="4"/>
        <v xml:space="preserve">.  </v>
      </c>
    </row>
    <row r="91" spans="7:7">
      <c r="G91" s="14" t="str">
        <f t="shared" si="4"/>
        <v xml:space="preserve">.  </v>
      </c>
    </row>
    <row r="92" spans="7:7">
      <c r="G92" s="14" t="str">
        <f t="shared" si="4"/>
        <v xml:space="preserve">.  </v>
      </c>
    </row>
    <row r="93" spans="7:7">
      <c r="G93" s="14" t="str">
        <f t="shared" si="4"/>
        <v xml:space="preserve">.  </v>
      </c>
    </row>
    <row r="94" spans="7:7">
      <c r="G94" s="14" t="str">
        <f t="shared" si="4"/>
        <v xml:space="preserve">.  </v>
      </c>
    </row>
    <row r="95" spans="7:7">
      <c r="G95" s="14" t="str">
        <f t="shared" si="4"/>
        <v xml:space="preserve">.  </v>
      </c>
    </row>
    <row r="96" spans="7:7">
      <c r="G96" s="14" t="str">
        <f t="shared" si="4"/>
        <v xml:space="preserve">.  </v>
      </c>
    </row>
    <row r="97" spans="7:7">
      <c r="G97" s="14" t="str">
        <f t="shared" si="4"/>
        <v xml:space="preserve">.  </v>
      </c>
    </row>
    <row r="98" spans="7:7">
      <c r="G98" s="14" t="str">
        <f t="shared" ref="G98:G161" si="5">_xlfn.CONCAT(A99,".  ",B99)</f>
        <v xml:space="preserve">.  </v>
      </c>
    </row>
    <row r="99" spans="7:7">
      <c r="G99" s="14" t="str">
        <f t="shared" si="5"/>
        <v xml:space="preserve">.  </v>
      </c>
    </row>
    <row r="100" spans="7:7">
      <c r="G100" s="14" t="str">
        <f t="shared" si="5"/>
        <v xml:space="preserve">.  </v>
      </c>
    </row>
    <row r="101" spans="7:7">
      <c r="G101" s="14" t="str">
        <f t="shared" si="5"/>
        <v xml:space="preserve">.  </v>
      </c>
    </row>
    <row r="102" spans="7:7">
      <c r="G102" s="14" t="str">
        <f t="shared" si="5"/>
        <v xml:space="preserve">.  </v>
      </c>
    </row>
    <row r="103" spans="7:7">
      <c r="G103" s="14" t="str">
        <f t="shared" si="5"/>
        <v xml:space="preserve">.  </v>
      </c>
    </row>
    <row r="104" spans="7:7">
      <c r="G104" s="14" t="str">
        <f t="shared" si="5"/>
        <v xml:space="preserve">.  </v>
      </c>
    </row>
    <row r="105" spans="7:7">
      <c r="G105" s="14" t="str">
        <f t="shared" si="5"/>
        <v xml:space="preserve">.  </v>
      </c>
    </row>
    <row r="106" spans="7:7">
      <c r="G106" s="14" t="str">
        <f t="shared" si="5"/>
        <v xml:space="preserve">.  </v>
      </c>
    </row>
    <row r="107" spans="7:7">
      <c r="G107" s="14" t="str">
        <f t="shared" si="5"/>
        <v xml:space="preserve">.  </v>
      </c>
    </row>
    <row r="108" spans="7:7">
      <c r="G108" s="14" t="str">
        <f t="shared" si="5"/>
        <v xml:space="preserve">.  </v>
      </c>
    </row>
    <row r="109" spans="7:7">
      <c r="G109" s="14" t="str">
        <f t="shared" si="5"/>
        <v xml:space="preserve">.  </v>
      </c>
    </row>
    <row r="110" spans="7:7">
      <c r="G110" s="14" t="str">
        <f t="shared" si="5"/>
        <v xml:space="preserve">.  </v>
      </c>
    </row>
    <row r="111" spans="7:7">
      <c r="G111" s="14" t="str">
        <f t="shared" si="5"/>
        <v xml:space="preserve">.  </v>
      </c>
    </row>
    <row r="112" spans="7:7">
      <c r="G112" s="14" t="str">
        <f t="shared" si="5"/>
        <v xml:space="preserve">.  </v>
      </c>
    </row>
    <row r="113" spans="7:7">
      <c r="G113" s="14" t="str">
        <f t="shared" si="5"/>
        <v xml:space="preserve">.  </v>
      </c>
    </row>
    <row r="114" spans="7:7">
      <c r="G114" s="14" t="str">
        <f t="shared" si="5"/>
        <v xml:space="preserve">.  </v>
      </c>
    </row>
    <row r="115" spans="7:7">
      <c r="G115" s="14" t="str">
        <f t="shared" si="5"/>
        <v xml:space="preserve">.  </v>
      </c>
    </row>
    <row r="116" spans="7:7">
      <c r="G116" s="14" t="str">
        <f t="shared" si="5"/>
        <v xml:space="preserve">.  </v>
      </c>
    </row>
    <row r="117" spans="7:7">
      <c r="G117" s="14" t="str">
        <f t="shared" si="5"/>
        <v xml:space="preserve">.  </v>
      </c>
    </row>
    <row r="118" spans="7:7">
      <c r="G118" s="14" t="str">
        <f t="shared" si="5"/>
        <v xml:space="preserve">.  </v>
      </c>
    </row>
    <row r="119" spans="7:7">
      <c r="G119" s="14" t="str">
        <f t="shared" si="5"/>
        <v xml:space="preserve">.  </v>
      </c>
    </row>
    <row r="120" spans="7:7">
      <c r="G120" s="14" t="str">
        <f t="shared" si="5"/>
        <v xml:space="preserve">.  </v>
      </c>
    </row>
    <row r="121" spans="7:7">
      <c r="G121" s="14" t="str">
        <f t="shared" si="5"/>
        <v xml:space="preserve">.  </v>
      </c>
    </row>
    <row r="122" spans="7:7">
      <c r="G122" s="14" t="str">
        <f t="shared" si="5"/>
        <v xml:space="preserve">.  </v>
      </c>
    </row>
    <row r="123" spans="7:7">
      <c r="G123" s="14" t="str">
        <f t="shared" si="5"/>
        <v xml:space="preserve">.  </v>
      </c>
    </row>
    <row r="124" spans="7:7">
      <c r="G124" s="14" t="str">
        <f t="shared" si="5"/>
        <v xml:space="preserve">.  </v>
      </c>
    </row>
    <row r="125" spans="7:7">
      <c r="G125" s="14" t="str">
        <f t="shared" si="5"/>
        <v xml:space="preserve">.  </v>
      </c>
    </row>
    <row r="126" spans="7:7">
      <c r="G126" s="14" t="str">
        <f t="shared" si="5"/>
        <v xml:space="preserve">.  </v>
      </c>
    </row>
    <row r="127" spans="7:7">
      <c r="G127" s="14" t="str">
        <f t="shared" si="5"/>
        <v xml:space="preserve">.  </v>
      </c>
    </row>
    <row r="128" spans="7:7">
      <c r="G128" s="14" t="str">
        <f t="shared" si="5"/>
        <v xml:space="preserve">.  </v>
      </c>
    </row>
    <row r="129" spans="7:7">
      <c r="G129" s="14" t="str">
        <f t="shared" si="5"/>
        <v xml:space="preserve">.  </v>
      </c>
    </row>
    <row r="130" spans="7:7">
      <c r="G130" s="14" t="str">
        <f t="shared" si="5"/>
        <v xml:space="preserve">.  </v>
      </c>
    </row>
    <row r="131" spans="7:7">
      <c r="G131" s="14" t="str">
        <f t="shared" si="5"/>
        <v xml:space="preserve">.  </v>
      </c>
    </row>
    <row r="132" spans="7:7">
      <c r="G132" s="14" t="str">
        <f t="shared" si="5"/>
        <v xml:space="preserve">.  </v>
      </c>
    </row>
    <row r="133" spans="7:7">
      <c r="G133" s="14" t="str">
        <f t="shared" si="5"/>
        <v xml:space="preserve">.  </v>
      </c>
    </row>
    <row r="134" spans="7:7">
      <c r="G134" s="14" t="str">
        <f t="shared" si="5"/>
        <v xml:space="preserve">.  </v>
      </c>
    </row>
    <row r="135" spans="7:7">
      <c r="G135" s="14" t="str">
        <f t="shared" si="5"/>
        <v xml:space="preserve">.  </v>
      </c>
    </row>
    <row r="136" spans="7:7">
      <c r="G136" s="14" t="str">
        <f t="shared" si="5"/>
        <v xml:space="preserve">.  </v>
      </c>
    </row>
    <row r="137" spans="7:7">
      <c r="G137" s="14" t="str">
        <f t="shared" si="5"/>
        <v xml:space="preserve">.  </v>
      </c>
    </row>
    <row r="138" spans="7:7">
      <c r="G138" s="14" t="str">
        <f t="shared" si="5"/>
        <v xml:space="preserve">.  </v>
      </c>
    </row>
    <row r="139" spans="7:7">
      <c r="G139" s="14" t="str">
        <f t="shared" si="5"/>
        <v xml:space="preserve">.  </v>
      </c>
    </row>
    <row r="140" spans="7:7">
      <c r="G140" s="14" t="str">
        <f t="shared" si="5"/>
        <v xml:space="preserve">.  </v>
      </c>
    </row>
    <row r="141" spans="7:7">
      <c r="G141" s="14" t="str">
        <f t="shared" si="5"/>
        <v xml:space="preserve">.  </v>
      </c>
    </row>
    <row r="142" spans="7:7">
      <c r="G142" s="14" t="str">
        <f t="shared" si="5"/>
        <v xml:space="preserve">.  </v>
      </c>
    </row>
    <row r="143" spans="7:7">
      <c r="G143" s="14" t="str">
        <f t="shared" si="5"/>
        <v xml:space="preserve">.  </v>
      </c>
    </row>
    <row r="144" spans="7:7">
      <c r="G144" s="14" t="str">
        <f t="shared" si="5"/>
        <v xml:space="preserve">.  </v>
      </c>
    </row>
    <row r="145" spans="7:7">
      <c r="G145" s="14" t="str">
        <f t="shared" si="5"/>
        <v xml:space="preserve">.  </v>
      </c>
    </row>
    <row r="146" spans="7:7">
      <c r="G146" s="14" t="str">
        <f t="shared" si="5"/>
        <v xml:space="preserve">.  </v>
      </c>
    </row>
    <row r="147" spans="7:7">
      <c r="G147" s="14" t="str">
        <f t="shared" si="5"/>
        <v xml:space="preserve">.  </v>
      </c>
    </row>
    <row r="148" spans="7:7">
      <c r="G148" s="14" t="str">
        <f t="shared" si="5"/>
        <v xml:space="preserve">.  </v>
      </c>
    </row>
    <row r="149" spans="7:7">
      <c r="G149" s="14" t="str">
        <f t="shared" si="5"/>
        <v xml:space="preserve">.  </v>
      </c>
    </row>
    <row r="150" spans="7:7">
      <c r="G150" s="14" t="str">
        <f t="shared" si="5"/>
        <v xml:space="preserve">.  </v>
      </c>
    </row>
    <row r="151" spans="7:7">
      <c r="G151" s="14" t="str">
        <f t="shared" si="5"/>
        <v xml:space="preserve">.  </v>
      </c>
    </row>
    <row r="152" spans="7:7">
      <c r="G152" s="14" t="str">
        <f t="shared" si="5"/>
        <v xml:space="preserve">.  </v>
      </c>
    </row>
    <row r="153" spans="7:7">
      <c r="G153" s="14" t="str">
        <f t="shared" si="5"/>
        <v xml:space="preserve">.  </v>
      </c>
    </row>
    <row r="154" spans="7:7">
      <c r="G154" s="14" t="str">
        <f t="shared" si="5"/>
        <v xml:space="preserve">.  </v>
      </c>
    </row>
    <row r="155" spans="7:7">
      <c r="G155" s="14" t="str">
        <f t="shared" si="5"/>
        <v xml:space="preserve">.  </v>
      </c>
    </row>
    <row r="156" spans="7:7">
      <c r="G156" s="14" t="str">
        <f t="shared" si="5"/>
        <v xml:space="preserve">.  </v>
      </c>
    </row>
    <row r="157" spans="7:7">
      <c r="G157" s="14" t="str">
        <f t="shared" si="5"/>
        <v xml:space="preserve">.  </v>
      </c>
    </row>
    <row r="158" spans="7:7">
      <c r="G158" s="14" t="str">
        <f t="shared" si="5"/>
        <v xml:space="preserve">.  </v>
      </c>
    </row>
    <row r="159" spans="7:7">
      <c r="G159" s="14" t="str">
        <f t="shared" si="5"/>
        <v xml:space="preserve">.  </v>
      </c>
    </row>
    <row r="160" spans="7:7">
      <c r="G160" s="14" t="str">
        <f t="shared" si="5"/>
        <v xml:space="preserve">.  </v>
      </c>
    </row>
    <row r="161" spans="7:7">
      <c r="G161" s="14" t="str">
        <f t="shared" si="5"/>
        <v xml:space="preserve">.  </v>
      </c>
    </row>
    <row r="162" spans="7:7">
      <c r="G162" s="14" t="str">
        <f t="shared" ref="G162:G186" si="6">_xlfn.CONCAT(A163,".  ",B163)</f>
        <v xml:space="preserve">.  </v>
      </c>
    </row>
    <row r="163" spans="7:7">
      <c r="G163" s="14" t="str">
        <f t="shared" si="6"/>
        <v xml:space="preserve">.  </v>
      </c>
    </row>
    <row r="164" spans="7:7">
      <c r="G164" s="14" t="str">
        <f t="shared" si="6"/>
        <v xml:space="preserve">.  </v>
      </c>
    </row>
    <row r="165" spans="7:7">
      <c r="G165" s="14" t="str">
        <f t="shared" si="6"/>
        <v xml:space="preserve">.  </v>
      </c>
    </row>
    <row r="166" spans="7:7">
      <c r="G166" s="14" t="str">
        <f t="shared" si="6"/>
        <v xml:space="preserve">.  </v>
      </c>
    </row>
    <row r="167" spans="7:7">
      <c r="G167" s="14" t="str">
        <f t="shared" si="6"/>
        <v xml:space="preserve">.  </v>
      </c>
    </row>
    <row r="168" spans="7:7">
      <c r="G168" s="14" t="str">
        <f t="shared" si="6"/>
        <v xml:space="preserve">.  </v>
      </c>
    </row>
    <row r="169" spans="7:7">
      <c r="G169" s="14" t="str">
        <f t="shared" si="6"/>
        <v xml:space="preserve">.  </v>
      </c>
    </row>
    <row r="170" spans="7:7">
      <c r="G170" s="14" t="str">
        <f t="shared" si="6"/>
        <v xml:space="preserve">.  </v>
      </c>
    </row>
    <row r="171" spans="7:7">
      <c r="G171" s="14" t="str">
        <f t="shared" si="6"/>
        <v xml:space="preserve">.  </v>
      </c>
    </row>
    <row r="172" spans="7:7">
      <c r="G172" s="14" t="str">
        <f t="shared" si="6"/>
        <v xml:space="preserve">.  </v>
      </c>
    </row>
    <row r="173" spans="7:7">
      <c r="G173" s="14" t="str">
        <f t="shared" si="6"/>
        <v xml:space="preserve">.  </v>
      </c>
    </row>
    <row r="174" spans="7:7">
      <c r="G174" s="14" t="str">
        <f t="shared" si="6"/>
        <v xml:space="preserve">.  </v>
      </c>
    </row>
    <row r="175" spans="7:7">
      <c r="G175" s="14" t="str">
        <f t="shared" si="6"/>
        <v xml:space="preserve">.  </v>
      </c>
    </row>
    <row r="176" spans="7:7">
      <c r="G176" s="14" t="str">
        <f t="shared" si="6"/>
        <v xml:space="preserve">.  </v>
      </c>
    </row>
    <row r="177" spans="7:7">
      <c r="G177" s="14" t="str">
        <f t="shared" si="6"/>
        <v xml:space="preserve">.  </v>
      </c>
    </row>
    <row r="178" spans="7:7">
      <c r="G178" s="14" t="str">
        <f t="shared" si="6"/>
        <v xml:space="preserve">.  </v>
      </c>
    </row>
    <row r="179" spans="7:7">
      <c r="G179" s="14" t="str">
        <f t="shared" si="6"/>
        <v xml:space="preserve">.  </v>
      </c>
    </row>
    <row r="180" spans="7:7">
      <c r="G180" s="14" t="str">
        <f t="shared" si="6"/>
        <v xml:space="preserve">.  </v>
      </c>
    </row>
    <row r="181" spans="7:7">
      <c r="G181" s="14" t="str">
        <f t="shared" si="6"/>
        <v xml:space="preserve">.  </v>
      </c>
    </row>
    <row r="182" spans="7:7">
      <c r="G182" s="14" t="str">
        <f t="shared" si="6"/>
        <v xml:space="preserve">.  </v>
      </c>
    </row>
    <row r="183" spans="7:7">
      <c r="G183" s="14" t="str">
        <f t="shared" si="6"/>
        <v xml:space="preserve">.  </v>
      </c>
    </row>
    <row r="184" spans="7:7">
      <c r="G184" s="14" t="str">
        <f t="shared" si="6"/>
        <v xml:space="preserve">.  </v>
      </c>
    </row>
    <row r="185" spans="7:7">
      <c r="G185" s="14" t="str">
        <f t="shared" si="6"/>
        <v xml:space="preserve">.  </v>
      </c>
    </row>
    <row r="186" spans="7:7">
      <c r="G186" s="14" t="str">
        <f t="shared" si="6"/>
        <v xml:space="preserve">.  </v>
      </c>
    </row>
  </sheetData>
  <mergeCells count="4">
    <mergeCell ref="A1:B1"/>
    <mergeCell ref="A2:B2"/>
    <mergeCell ref="A13:B13"/>
    <mergeCell ref="A22:B22"/>
  </mergeCells>
  <phoneticPr fontId="17" type="noConversion"/>
  <pageMargins left="0.7" right="0.7" top="0.75" bottom="0.75" header="0.3" footer="0.3"/>
  <drawing r:id="rId1"/>
  <legacyDrawing r:id="rId2"/>
  <tableParts count="3">
    <tablePart r:id="rId3"/>
    <tablePart r:id="rId4"/>
    <tablePart r:id="rId5"/>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C2993-6EA9-468D-B56A-3F52426C69BB}">
  <dimension ref="A1:AE126"/>
  <sheetViews>
    <sheetView showGridLines="0" topLeftCell="A20" zoomScale="85" zoomScaleNormal="85" workbookViewId="0">
      <selection activeCell="D51" sqref="D51"/>
    </sheetView>
  </sheetViews>
  <sheetFormatPr defaultColWidth="8.7109375" defaultRowHeight="12.75"/>
  <cols>
    <col min="1" max="1" width="34.28515625" customWidth="1"/>
    <col min="2" max="2" width="23" customWidth="1"/>
    <col min="3" max="3" width="28.28515625" customWidth="1"/>
    <col min="4" max="4" width="39.28515625" style="1" customWidth="1"/>
    <col min="5" max="5" width="13.7109375" style="1" customWidth="1"/>
    <col min="6" max="6" width="18.28515625" style="1" customWidth="1"/>
    <col min="7" max="7" width="14.28515625" style="1" customWidth="1"/>
    <col min="8" max="8" width="12.7109375" style="1" customWidth="1"/>
  </cols>
  <sheetData>
    <row r="1" spans="1:31">
      <c r="A1" s="17" t="s">
        <v>2</v>
      </c>
      <c r="B1" s="18"/>
      <c r="C1" s="18"/>
      <c r="D1" s="129"/>
      <c r="E1" s="130"/>
      <c r="F1" s="124" t="s">
        <v>178</v>
      </c>
      <c r="G1" s="124"/>
      <c r="H1" s="124"/>
      <c r="I1" s="25"/>
      <c r="AB1" s="25" t="s">
        <v>479</v>
      </c>
      <c r="AC1" s="25"/>
      <c r="AD1" s="25"/>
      <c r="AE1" s="25"/>
    </row>
    <row r="2" spans="1:31">
      <c r="A2" s="7" t="s">
        <v>983</v>
      </c>
      <c r="B2" t="s">
        <v>984</v>
      </c>
      <c r="E2" s="10"/>
      <c r="F2" s="1" t="s">
        <v>985</v>
      </c>
      <c r="AB2" t="s">
        <v>986</v>
      </c>
    </row>
    <row r="3" spans="1:31">
      <c r="A3" s="7"/>
      <c r="B3" t="s">
        <v>987</v>
      </c>
      <c r="E3" s="10"/>
      <c r="G3" s="1" t="s">
        <v>988</v>
      </c>
    </row>
    <row r="4" spans="1:31">
      <c r="A4" s="7"/>
      <c r="B4" t="s">
        <v>989</v>
      </c>
      <c r="E4" s="10"/>
      <c r="G4" s="1" t="s">
        <v>990</v>
      </c>
      <c r="AC4" t="s">
        <v>991</v>
      </c>
    </row>
    <row r="5" spans="1:31">
      <c r="A5" s="7"/>
      <c r="E5" s="10"/>
      <c r="G5" s="1" t="s">
        <v>992</v>
      </c>
      <c r="AC5" t="s">
        <v>993</v>
      </c>
    </row>
    <row r="6" spans="1:31" ht="22.5">
      <c r="A6" s="7" t="s">
        <v>994</v>
      </c>
      <c r="B6" s="16" t="s">
        <v>995</v>
      </c>
      <c r="D6" s="1" t="s">
        <v>130</v>
      </c>
      <c r="E6" s="10" t="s">
        <v>996</v>
      </c>
      <c r="G6" s="15" t="s">
        <v>997</v>
      </c>
      <c r="AC6" t="s">
        <v>998</v>
      </c>
    </row>
    <row r="7" spans="1:31">
      <c r="A7" s="7"/>
      <c r="B7" s="16" t="s">
        <v>999</v>
      </c>
      <c r="E7" s="10" t="s">
        <v>1000</v>
      </c>
      <c r="AC7" t="s">
        <v>1001</v>
      </c>
    </row>
    <row r="8" spans="1:31" ht="25.5">
      <c r="A8" s="7"/>
      <c r="B8" s="16" t="s">
        <v>1002</v>
      </c>
      <c r="E8" s="1" t="s">
        <v>1003</v>
      </c>
      <c r="F8" s="125" t="s">
        <v>69</v>
      </c>
      <c r="G8" s="125" t="s">
        <v>1004</v>
      </c>
      <c r="H8" s="125" t="s">
        <v>1005</v>
      </c>
      <c r="I8" s="21" t="s">
        <v>1006</v>
      </c>
    </row>
    <row r="9" spans="1:31">
      <c r="A9" s="7"/>
      <c r="B9" s="16" t="s">
        <v>1007</v>
      </c>
      <c r="E9" s="1" t="s">
        <v>1008</v>
      </c>
      <c r="F9" s="126" t="s">
        <v>1009</v>
      </c>
      <c r="G9" s="126">
        <v>1100</v>
      </c>
      <c r="H9" s="126">
        <v>1100</v>
      </c>
      <c r="I9" s="19">
        <v>0.9</v>
      </c>
    </row>
    <row r="10" spans="1:31">
      <c r="A10" s="7"/>
      <c r="B10" s="16" t="s">
        <v>1010</v>
      </c>
      <c r="E10" s="1" t="s">
        <v>1011</v>
      </c>
      <c r="F10" s="126" t="s">
        <v>1012</v>
      </c>
      <c r="G10" s="126">
        <v>2700</v>
      </c>
      <c r="H10" s="126">
        <v>898</v>
      </c>
      <c r="I10" s="19">
        <v>210</v>
      </c>
    </row>
    <row r="11" spans="1:31">
      <c r="A11" s="7"/>
      <c r="B11" s="16" t="s">
        <v>1013</v>
      </c>
      <c r="E11" s="1" t="s">
        <v>1014</v>
      </c>
      <c r="F11" s="126" t="s">
        <v>1015</v>
      </c>
      <c r="G11" s="126">
        <v>800</v>
      </c>
      <c r="H11" s="126">
        <v>837</v>
      </c>
      <c r="I11" s="19">
        <v>0.35</v>
      </c>
    </row>
    <row r="12" spans="1:31" ht="22.5">
      <c r="A12" s="7"/>
      <c r="B12" s="16" t="s">
        <v>1016</v>
      </c>
      <c r="E12" s="1" t="s">
        <v>470</v>
      </c>
      <c r="F12" s="126" t="s">
        <v>1015</v>
      </c>
      <c r="G12" s="126">
        <v>1200</v>
      </c>
      <c r="H12" s="126">
        <v>837</v>
      </c>
      <c r="I12" s="19">
        <v>0.56000000000000005</v>
      </c>
    </row>
    <row r="13" spans="1:31" ht="22.5">
      <c r="A13" s="7"/>
      <c r="B13" s="16" t="s">
        <v>1017</v>
      </c>
      <c r="E13" s="1" t="s">
        <v>1018</v>
      </c>
      <c r="F13" s="126" t="s">
        <v>1019</v>
      </c>
      <c r="G13" s="126">
        <v>1000</v>
      </c>
      <c r="H13" s="126">
        <v>837</v>
      </c>
      <c r="I13" s="19">
        <v>0.23</v>
      </c>
    </row>
    <row r="14" spans="1:31">
      <c r="A14" s="7"/>
      <c r="B14" s="16" t="s">
        <v>1020</v>
      </c>
      <c r="E14" s="1" t="s">
        <v>1021</v>
      </c>
      <c r="F14" s="126" t="s">
        <v>1022</v>
      </c>
      <c r="G14" s="126">
        <v>2400</v>
      </c>
      <c r="H14" s="126">
        <v>840</v>
      </c>
      <c r="I14" s="19">
        <v>1.63</v>
      </c>
    </row>
    <row r="15" spans="1:31">
      <c r="A15" s="7"/>
      <c r="B15" s="16" t="s">
        <v>1023</v>
      </c>
      <c r="F15" s="126" t="s">
        <v>1024</v>
      </c>
      <c r="G15" s="126">
        <v>1000</v>
      </c>
      <c r="H15" s="126">
        <v>840</v>
      </c>
      <c r="I15" s="19">
        <v>0.33</v>
      </c>
    </row>
    <row r="16" spans="1:31" ht="25.5">
      <c r="A16" s="7"/>
      <c r="B16" s="16" t="s">
        <v>1025</v>
      </c>
      <c r="F16" s="127" t="s">
        <v>1026</v>
      </c>
      <c r="G16" s="126">
        <v>1000</v>
      </c>
      <c r="H16" s="126">
        <v>1094</v>
      </c>
      <c r="I16" s="19">
        <v>0.67</v>
      </c>
    </row>
    <row r="17" spans="1:9" ht="25.5">
      <c r="A17" s="7"/>
      <c r="B17" s="16" t="s">
        <v>1027</v>
      </c>
      <c r="F17" s="127" t="s">
        <v>1028</v>
      </c>
      <c r="G17" s="126">
        <v>1000</v>
      </c>
      <c r="H17" s="126">
        <v>1055</v>
      </c>
      <c r="I17" s="19">
        <v>0.41</v>
      </c>
    </row>
    <row r="18" spans="1:9" ht="38.25">
      <c r="A18" s="7"/>
      <c r="B18" s="16" t="s">
        <v>1029</v>
      </c>
      <c r="F18" s="127" t="s">
        <v>1030</v>
      </c>
      <c r="G18" s="126">
        <v>800</v>
      </c>
      <c r="H18" s="126">
        <v>1061</v>
      </c>
      <c r="I18" s="19">
        <v>0.22</v>
      </c>
    </row>
    <row r="19" spans="1:9" ht="25.5">
      <c r="A19" s="7"/>
      <c r="B19" s="16" t="s">
        <v>1031</v>
      </c>
      <c r="F19" s="127" t="s">
        <v>1032</v>
      </c>
      <c r="G19" s="126">
        <v>1400</v>
      </c>
      <c r="H19" s="126">
        <v>750</v>
      </c>
      <c r="I19" s="19">
        <v>0.6</v>
      </c>
    </row>
    <row r="20" spans="1:9" ht="33.75">
      <c r="A20" s="7"/>
      <c r="B20" s="16" t="s">
        <v>1033</v>
      </c>
      <c r="F20" s="127" t="s">
        <v>1034</v>
      </c>
      <c r="G20" s="126">
        <v>70</v>
      </c>
      <c r="H20" s="126">
        <v>840</v>
      </c>
      <c r="I20" s="19">
        <v>3.7999999999999999E-2</v>
      </c>
    </row>
    <row r="21" spans="1:9" ht="22.5">
      <c r="A21" s="7"/>
      <c r="B21" s="16" t="s">
        <v>1035</v>
      </c>
      <c r="F21" s="127" t="s">
        <v>1036</v>
      </c>
      <c r="G21" s="126">
        <v>380</v>
      </c>
      <c r="H21" s="126">
        <v>1759</v>
      </c>
      <c r="I21" s="19">
        <v>9.0999999999999998E-2</v>
      </c>
    </row>
    <row r="22" spans="1:9" ht="13.5" thickBot="1">
      <c r="A22" s="8"/>
      <c r="B22" s="9"/>
      <c r="C22" s="9"/>
      <c r="D22" s="12"/>
      <c r="E22" s="12"/>
      <c r="F22" s="127" t="s">
        <v>1037</v>
      </c>
      <c r="G22" s="126">
        <v>560</v>
      </c>
      <c r="H22" s="126">
        <v>1759</v>
      </c>
      <c r="I22" s="19">
        <v>0.13400000000000001</v>
      </c>
    </row>
    <row r="23" spans="1:9">
      <c r="F23" s="127" t="s">
        <v>1038</v>
      </c>
      <c r="G23" s="126">
        <v>670</v>
      </c>
      <c r="H23" s="126">
        <v>1759</v>
      </c>
      <c r="I23" s="19">
        <v>0.17499999999999999</v>
      </c>
    </row>
    <row r="24" spans="1:9">
      <c r="F24" s="127" t="s">
        <v>1039</v>
      </c>
      <c r="G24" s="126">
        <v>410</v>
      </c>
      <c r="H24" s="126">
        <v>2805</v>
      </c>
      <c r="I24" s="19">
        <v>0.104</v>
      </c>
    </row>
    <row r="25" spans="1:9">
      <c r="F25" s="127" t="s">
        <v>1040</v>
      </c>
      <c r="G25" s="126">
        <v>580</v>
      </c>
      <c r="H25" s="126">
        <v>1759</v>
      </c>
      <c r="I25" s="19">
        <v>0.121</v>
      </c>
    </row>
    <row r="26" spans="1:9" ht="51">
      <c r="F26" s="127" t="s">
        <v>1041</v>
      </c>
      <c r="G26" s="126">
        <v>400</v>
      </c>
      <c r="H26" s="126">
        <v>1420</v>
      </c>
      <c r="I26" s="19">
        <v>9.5000000000000001E-2</v>
      </c>
    </row>
    <row r="27" spans="1:9">
      <c r="F27" s="127" t="s">
        <v>1042</v>
      </c>
      <c r="G27" s="127">
        <v>100</v>
      </c>
      <c r="H27" s="127">
        <v>2210</v>
      </c>
      <c r="I27" s="20">
        <v>0.04</v>
      </c>
    </row>
    <row r="28" spans="1:9">
      <c r="F28" s="127" t="s">
        <v>1043</v>
      </c>
      <c r="G28" s="126">
        <v>470</v>
      </c>
      <c r="H28" s="126">
        <v>1600</v>
      </c>
      <c r="I28" s="19">
        <v>0.11</v>
      </c>
    </row>
    <row r="29" spans="1:9" ht="13.5" thickBot="1"/>
    <row r="30" spans="1:9">
      <c r="A30" s="17" t="s">
        <v>497</v>
      </c>
      <c r="B30" s="18"/>
      <c r="C30" s="18"/>
      <c r="D30" s="129"/>
      <c r="E30" s="130"/>
    </row>
    <row r="31" spans="1:9" ht="25.5">
      <c r="A31" s="261" t="s">
        <v>1044</v>
      </c>
      <c r="B31" s="262" t="s">
        <v>1045</v>
      </c>
      <c r="C31" s="263" t="s">
        <v>1046</v>
      </c>
      <c r="D31" s="595" t="s">
        <v>464</v>
      </c>
    </row>
    <row r="32" spans="1:9">
      <c r="A32" s="264" t="s">
        <v>1047</v>
      </c>
      <c r="B32" s="265">
        <v>0.434</v>
      </c>
      <c r="C32" s="266" t="s">
        <v>1048</v>
      </c>
      <c r="D32" s="1" t="s">
        <v>1049</v>
      </c>
    </row>
    <row r="33" spans="1:4">
      <c r="A33" s="264" t="s">
        <v>1050</v>
      </c>
      <c r="B33" s="265">
        <v>0.435</v>
      </c>
      <c r="C33" s="266" t="s">
        <v>864</v>
      </c>
    </row>
    <row r="34" spans="1:4">
      <c r="A34" s="264" t="s">
        <v>1051</v>
      </c>
      <c r="B34" s="265">
        <v>0.26600000000000001</v>
      </c>
      <c r="C34" s="266" t="s">
        <v>1048</v>
      </c>
      <c r="D34" s="149" t="s">
        <v>1052</v>
      </c>
    </row>
    <row r="35" spans="1:4">
      <c r="A35" s="28" t="s">
        <v>1053</v>
      </c>
      <c r="B35" s="265">
        <v>0.26</v>
      </c>
      <c r="C35" s="266" t="s">
        <v>1048</v>
      </c>
      <c r="D35" s="1" t="s">
        <v>1052</v>
      </c>
    </row>
    <row r="36" spans="1:4">
      <c r="A36" s="264" t="s">
        <v>1054</v>
      </c>
      <c r="B36" s="267">
        <v>3.4000000000000002E-2</v>
      </c>
      <c r="C36" s="266" t="s">
        <v>1048</v>
      </c>
      <c r="D36" s="596" t="s">
        <v>1055</v>
      </c>
    </row>
    <row r="37" spans="1:4" ht="13.5" thickBot="1">
      <c r="A37" s="46" t="s">
        <v>1056</v>
      </c>
      <c r="B37" s="268">
        <f>-B32</f>
        <v>-0.434</v>
      </c>
      <c r="C37" s="266" t="s">
        <v>1048</v>
      </c>
    </row>
    <row r="40" spans="1:4">
      <c r="A40" t="s">
        <v>1057</v>
      </c>
    </row>
    <row r="41" spans="1:4">
      <c r="B41" t="s">
        <v>1058</v>
      </c>
      <c r="C41" t="s">
        <v>1059</v>
      </c>
    </row>
    <row r="42" spans="1:4">
      <c r="B42" s="264" t="s">
        <v>1047</v>
      </c>
      <c r="C42">
        <f>'A7'!K108</f>
        <v>0</v>
      </c>
    </row>
    <row r="43" spans="1:4">
      <c r="B43" s="264" t="s">
        <v>1050</v>
      </c>
      <c r="C43">
        <f>'A7'!K109</f>
        <v>0</v>
      </c>
    </row>
    <row r="44" spans="1:4">
      <c r="B44" s="264" t="s">
        <v>1051</v>
      </c>
      <c r="C44">
        <f>'A7'!K110</f>
        <v>0</v>
      </c>
    </row>
    <row r="45" spans="1:4">
      <c r="B45" s="28" t="s">
        <v>1053</v>
      </c>
      <c r="C45">
        <f>'A7'!K111</f>
        <v>0</v>
      </c>
    </row>
    <row r="46" spans="1:4">
      <c r="B46" s="264" t="s">
        <v>1054</v>
      </c>
      <c r="C46">
        <f>'A7'!K112</f>
        <v>0</v>
      </c>
    </row>
    <row r="47" spans="1:4">
      <c r="B47" s="269"/>
      <c r="C47">
        <f>'A7'!K113</f>
        <v>0</v>
      </c>
    </row>
    <row r="48" spans="1:4">
      <c r="B48" s="269"/>
      <c r="C48">
        <f>'A7'!K114</f>
        <v>0</v>
      </c>
    </row>
    <row r="49" spans="1:3">
      <c r="B49" s="269"/>
      <c r="C49">
        <f>'A7'!K115</f>
        <v>0</v>
      </c>
    </row>
    <row r="50" spans="1:3">
      <c r="B50" s="269"/>
      <c r="C50">
        <f>'A7'!K116</f>
        <v>0</v>
      </c>
    </row>
    <row r="51" spans="1:3">
      <c r="B51" s="269"/>
      <c r="C51">
        <f>'A7'!K117</f>
        <v>0</v>
      </c>
    </row>
    <row r="52" spans="1:3">
      <c r="B52" s="269"/>
      <c r="C52">
        <f>'A7'!K118</f>
        <v>0</v>
      </c>
    </row>
    <row r="53" spans="1:3">
      <c r="B53" s="269"/>
      <c r="C53">
        <f>'A7'!K119</f>
        <v>0</v>
      </c>
    </row>
    <row r="58" spans="1:3">
      <c r="A58" s="23" t="s">
        <v>1060</v>
      </c>
    </row>
    <row r="59" spans="1:3">
      <c r="A59" s="19" t="s">
        <v>1061</v>
      </c>
    </row>
    <row r="60" spans="1:3">
      <c r="A60" s="19" t="s">
        <v>1062</v>
      </c>
    </row>
    <row r="66" spans="1:8" ht="13.5" thickBot="1"/>
    <row r="67" spans="1:8" ht="26.25" thickBot="1">
      <c r="A67" s="51" t="s">
        <v>1063</v>
      </c>
      <c r="B67" s="52" t="s">
        <v>66</v>
      </c>
      <c r="D67" s="119" t="s">
        <v>1003</v>
      </c>
      <c r="E67" s="119" t="s">
        <v>540</v>
      </c>
      <c r="F67" s="119" t="s">
        <v>558</v>
      </c>
      <c r="G67" s="119" t="s">
        <v>539</v>
      </c>
      <c r="H67" s="119" t="s">
        <v>559</v>
      </c>
    </row>
    <row r="68" spans="1:8">
      <c r="A68" s="53"/>
      <c r="B68" s="56"/>
      <c r="D68" s="66"/>
      <c r="E68" s="13"/>
      <c r="F68" s="66"/>
      <c r="G68" s="66"/>
      <c r="H68" s="66"/>
    </row>
    <row r="69" spans="1:8" ht="46.5">
      <c r="A69" s="54" t="s">
        <v>1064</v>
      </c>
      <c r="B69" s="495" t="s">
        <v>1065</v>
      </c>
      <c r="D69" s="120" t="s">
        <v>1066</v>
      </c>
      <c r="E69" s="120" t="s">
        <v>6</v>
      </c>
      <c r="F69" s="120">
        <v>6.42</v>
      </c>
      <c r="G69" s="122" t="s">
        <v>1067</v>
      </c>
      <c r="H69" s="121">
        <v>45384</v>
      </c>
    </row>
    <row r="70" spans="1:8" ht="47.25" thickBot="1">
      <c r="A70" s="55" t="s">
        <v>1068</v>
      </c>
      <c r="B70" s="495" t="s">
        <v>1069</v>
      </c>
      <c r="D70" s="120" t="s">
        <v>1070</v>
      </c>
      <c r="E70" s="120" t="s">
        <v>6</v>
      </c>
      <c r="F70" s="120">
        <v>15.1</v>
      </c>
      <c r="G70" s="120"/>
      <c r="H70" s="120"/>
    </row>
    <row r="71" spans="1:8" ht="58.35" customHeight="1" thickBot="1">
      <c r="A71" s="494" t="s">
        <v>1071</v>
      </c>
      <c r="B71" s="495" t="s">
        <v>1072</v>
      </c>
      <c r="D71" s="120" t="s">
        <v>1073</v>
      </c>
      <c r="E71" s="120" t="s">
        <v>6</v>
      </c>
      <c r="F71" s="120">
        <v>5.9</v>
      </c>
      <c r="G71" s="120"/>
      <c r="H71" s="120"/>
    </row>
    <row r="72" spans="1:8" ht="63.6" customHeight="1">
      <c r="B72" s="495" t="s">
        <v>1074</v>
      </c>
      <c r="D72" s="120" t="s">
        <v>1075</v>
      </c>
      <c r="E72" s="120" t="s">
        <v>6</v>
      </c>
      <c r="F72" s="120">
        <v>1.0900000000000001</v>
      </c>
      <c r="G72" s="122" t="s">
        <v>1076</v>
      </c>
      <c r="H72" s="121">
        <v>46504</v>
      </c>
    </row>
    <row r="73" spans="1:8">
      <c r="B73" s="495" t="s">
        <v>1077</v>
      </c>
      <c r="D73" s="132" t="s">
        <v>1078</v>
      </c>
      <c r="E73" s="120" t="s">
        <v>6</v>
      </c>
      <c r="F73" s="120">
        <v>4.8099999999999996</v>
      </c>
      <c r="G73" s="122" t="s">
        <v>1079</v>
      </c>
      <c r="H73" s="121">
        <v>46496</v>
      </c>
    </row>
    <row r="74" spans="1:8">
      <c r="B74" s="495" t="s">
        <v>1080</v>
      </c>
      <c r="D74" s="132" t="s">
        <v>1081</v>
      </c>
      <c r="E74" s="120" t="s">
        <v>1082</v>
      </c>
      <c r="F74" s="120">
        <v>10</v>
      </c>
      <c r="G74" s="120"/>
      <c r="H74" s="120"/>
    </row>
    <row r="75" spans="1:8">
      <c r="B75" s="495" t="s">
        <v>1083</v>
      </c>
      <c r="D75" s="132" t="s">
        <v>1084</v>
      </c>
      <c r="E75" s="120" t="s">
        <v>6</v>
      </c>
      <c r="F75" s="120">
        <v>4.28</v>
      </c>
      <c r="G75" s="122" t="s">
        <v>1085</v>
      </c>
      <c r="H75" s="121">
        <v>46324</v>
      </c>
    </row>
    <row r="76" spans="1:8">
      <c r="B76" s="495" t="s">
        <v>1086</v>
      </c>
      <c r="D76" s="132" t="s">
        <v>1087</v>
      </c>
      <c r="E76" s="120" t="s">
        <v>6</v>
      </c>
      <c r="F76" s="120">
        <v>3.8</v>
      </c>
      <c r="G76" s="122" t="s">
        <v>1088</v>
      </c>
      <c r="H76" s="121">
        <v>46476</v>
      </c>
    </row>
    <row r="77" spans="1:8">
      <c r="B77" s="495" t="s">
        <v>1089</v>
      </c>
      <c r="D77" s="132" t="s">
        <v>1090</v>
      </c>
      <c r="E77" s="120" t="s">
        <v>6</v>
      </c>
      <c r="F77" s="120">
        <v>2.5</v>
      </c>
      <c r="G77" s="120"/>
      <c r="H77" s="120"/>
    </row>
    <row r="78" spans="1:8" ht="13.5" thickBot="1">
      <c r="B78" s="496" t="s">
        <v>1091</v>
      </c>
      <c r="D78" s="132" t="s">
        <v>1092</v>
      </c>
      <c r="E78" s="120" t="s">
        <v>6</v>
      </c>
      <c r="F78" s="120">
        <v>63.7</v>
      </c>
      <c r="G78" s="120"/>
      <c r="H78" s="120"/>
    </row>
    <row r="79" spans="1:8">
      <c r="B79" s="495" t="s">
        <v>1093</v>
      </c>
      <c r="D79" s="132" t="s">
        <v>1094</v>
      </c>
      <c r="E79" s="120" t="s">
        <v>6</v>
      </c>
      <c r="F79" s="120">
        <v>10.4</v>
      </c>
      <c r="G79" s="122" t="s">
        <v>1095</v>
      </c>
      <c r="H79" s="121">
        <v>46650</v>
      </c>
    </row>
    <row r="80" spans="1:8">
      <c r="D80" s="132" t="s">
        <v>1096</v>
      </c>
      <c r="E80" s="120" t="s">
        <v>1097</v>
      </c>
      <c r="F80" s="120">
        <v>3572</v>
      </c>
      <c r="G80" s="122" t="s">
        <v>1098</v>
      </c>
      <c r="H80" s="121">
        <v>46021</v>
      </c>
    </row>
    <row r="81" spans="4:8">
      <c r="D81" s="132" t="s">
        <v>1099</v>
      </c>
      <c r="E81" s="120" t="s">
        <v>591</v>
      </c>
      <c r="F81" s="120">
        <v>-49.6</v>
      </c>
      <c r="G81" s="120"/>
      <c r="H81" s="120"/>
    </row>
    <row r="82" spans="4:8">
      <c r="D82" s="133" t="s">
        <v>1100</v>
      </c>
      <c r="E82" s="120" t="s">
        <v>6</v>
      </c>
      <c r="F82" s="120">
        <v>5.13</v>
      </c>
      <c r="G82" s="120"/>
      <c r="H82" s="120"/>
    </row>
    <row r="83" spans="4:8">
      <c r="D83" s="132" t="s">
        <v>1101</v>
      </c>
      <c r="E83" s="120" t="s">
        <v>1082</v>
      </c>
      <c r="F83" s="120">
        <v>-900</v>
      </c>
      <c r="G83" s="120"/>
      <c r="H83" s="120"/>
    </row>
    <row r="84" spans="4:8">
      <c r="D84" s="134" t="s">
        <v>1102</v>
      </c>
      <c r="E84" s="123" t="s">
        <v>1082</v>
      </c>
      <c r="F84" s="123">
        <v>-576</v>
      </c>
      <c r="G84" s="128" t="s">
        <v>1103</v>
      </c>
      <c r="H84" s="131">
        <v>46909</v>
      </c>
    </row>
    <row r="85" spans="4:8">
      <c r="D85" s="132" t="s">
        <v>1104</v>
      </c>
      <c r="E85" s="120" t="s">
        <v>6</v>
      </c>
      <c r="F85" s="120">
        <v>27.03</v>
      </c>
      <c r="G85" s="120"/>
      <c r="H85" s="120"/>
    </row>
    <row r="86" spans="4:8">
      <c r="D86" s="132" t="s">
        <v>1105</v>
      </c>
      <c r="E86" s="120" t="s">
        <v>1082</v>
      </c>
      <c r="F86" s="120">
        <v>-454</v>
      </c>
      <c r="G86" s="122" t="s">
        <v>1106</v>
      </c>
      <c r="H86" s="121">
        <v>46740</v>
      </c>
    </row>
    <row r="87" spans="4:8">
      <c r="D87" s="132" t="s">
        <v>1107</v>
      </c>
      <c r="E87" s="120" t="s">
        <v>6</v>
      </c>
      <c r="F87" s="120">
        <v>3.39</v>
      </c>
      <c r="G87" s="122" t="s">
        <v>1108</v>
      </c>
      <c r="H87" s="121">
        <v>46476</v>
      </c>
    </row>
    <row r="88" spans="4:8">
      <c r="D88" s="132" t="s">
        <v>1109</v>
      </c>
      <c r="E88" s="120" t="s">
        <v>6</v>
      </c>
      <c r="F88" s="120">
        <v>3.48</v>
      </c>
      <c r="G88" s="122" t="s">
        <v>1108</v>
      </c>
      <c r="H88" s="121">
        <v>46476</v>
      </c>
    </row>
    <row r="89" spans="4:8">
      <c r="D89" s="132" t="s">
        <v>1110</v>
      </c>
      <c r="E89" s="120" t="s">
        <v>1082</v>
      </c>
      <c r="F89" s="120">
        <v>-863</v>
      </c>
      <c r="G89" s="122" t="s">
        <v>1111</v>
      </c>
      <c r="H89" s="121">
        <v>45687</v>
      </c>
    </row>
    <row r="90" spans="4:8">
      <c r="D90" s="132" t="s">
        <v>1112</v>
      </c>
      <c r="E90" s="120" t="s">
        <v>6</v>
      </c>
      <c r="F90" s="120">
        <v>-7.66</v>
      </c>
      <c r="G90" s="120"/>
      <c r="H90" s="120"/>
    </row>
    <row r="91" spans="4:8">
      <c r="D91" s="132" t="s">
        <v>1113</v>
      </c>
      <c r="E91" s="120" t="s">
        <v>6</v>
      </c>
      <c r="F91" s="120">
        <v>3.77</v>
      </c>
      <c r="G91" s="120"/>
      <c r="H91" s="120"/>
    </row>
    <row r="92" spans="4:8">
      <c r="D92" s="132" t="s">
        <v>1114</v>
      </c>
      <c r="E92" s="120" t="s">
        <v>6</v>
      </c>
      <c r="F92" s="120">
        <v>16.600000000000001</v>
      </c>
      <c r="G92" s="120"/>
      <c r="H92" s="120"/>
    </row>
    <row r="93" spans="4:8">
      <c r="D93" s="132" t="s">
        <v>1115</v>
      </c>
      <c r="E93" s="120" t="s">
        <v>6</v>
      </c>
      <c r="F93" s="120">
        <v>37.25</v>
      </c>
      <c r="G93" s="120" t="s">
        <v>1116</v>
      </c>
      <c r="H93" s="120">
        <v>45502</v>
      </c>
    </row>
    <row r="94" spans="4:8">
      <c r="D94" s="132" t="s">
        <v>1117</v>
      </c>
      <c r="E94" s="120" t="s">
        <v>1118</v>
      </c>
      <c r="F94" s="120">
        <v>213</v>
      </c>
      <c r="G94" s="120"/>
      <c r="H94" s="120"/>
    </row>
    <row r="95" spans="4:8">
      <c r="D95" s="132" t="s">
        <v>1119</v>
      </c>
      <c r="E95" s="120" t="s">
        <v>1097</v>
      </c>
      <c r="F95" s="120">
        <v>0.12</v>
      </c>
      <c r="G95" s="122" t="s">
        <v>1120</v>
      </c>
      <c r="H95" s="121">
        <v>46334</v>
      </c>
    </row>
    <row r="96" spans="4:8">
      <c r="D96" s="132" t="s">
        <v>1121</v>
      </c>
      <c r="E96" s="120" t="s">
        <v>1118</v>
      </c>
      <c r="F96" s="120">
        <v>767</v>
      </c>
      <c r="G96" s="120"/>
      <c r="H96" s="120"/>
    </row>
    <row r="97" spans="1:8">
      <c r="D97" s="132" t="s">
        <v>1122</v>
      </c>
      <c r="E97" s="120" t="s">
        <v>1118</v>
      </c>
      <c r="F97" s="120">
        <v>1430</v>
      </c>
      <c r="G97" s="122" t="s">
        <v>1123</v>
      </c>
      <c r="H97" s="121">
        <v>45776</v>
      </c>
    </row>
    <row r="98" spans="1:8">
      <c r="D98" s="132" t="s">
        <v>1124</v>
      </c>
      <c r="E98" s="120" t="s">
        <v>1118</v>
      </c>
      <c r="F98" s="120">
        <v>820</v>
      </c>
      <c r="G98" s="120"/>
      <c r="H98" s="120"/>
    </row>
    <row r="99" spans="1:8">
      <c r="D99" s="132" t="s">
        <v>1125</v>
      </c>
      <c r="E99" s="120" t="s">
        <v>1082</v>
      </c>
      <c r="F99" s="120">
        <v>196</v>
      </c>
      <c r="G99" s="120"/>
      <c r="H99" s="120"/>
    </row>
    <row r="100" spans="1:8" ht="13.5" thickBot="1">
      <c r="A100" s="23" t="s">
        <v>1126</v>
      </c>
      <c r="B100" s="23"/>
      <c r="C100" s="23"/>
      <c r="D100" s="132" t="s">
        <v>1127</v>
      </c>
      <c r="E100" s="120" t="s">
        <v>1082</v>
      </c>
      <c r="F100" s="120">
        <v>458</v>
      </c>
      <c r="G100" s="120"/>
      <c r="H100" s="120"/>
    </row>
    <row r="101" spans="1:8">
      <c r="A101" s="26" t="s">
        <v>1128</v>
      </c>
      <c r="B101" s="27" t="s">
        <v>1129</v>
      </c>
      <c r="D101" s="132" t="s">
        <v>1130</v>
      </c>
      <c r="E101" s="120" t="s">
        <v>1082</v>
      </c>
      <c r="F101" s="120">
        <v>294</v>
      </c>
      <c r="G101" s="122" t="s">
        <v>1131</v>
      </c>
      <c r="H101" s="121">
        <v>45580</v>
      </c>
    </row>
    <row r="102" spans="1:8">
      <c r="A102" s="28" t="s">
        <v>1132</v>
      </c>
      <c r="B102" s="45">
        <v>1</v>
      </c>
      <c r="D102" s="132" t="s">
        <v>1133</v>
      </c>
      <c r="E102" s="120" t="s">
        <v>1097</v>
      </c>
      <c r="F102" s="120">
        <v>3.25</v>
      </c>
      <c r="G102" s="120" t="s">
        <v>1134</v>
      </c>
      <c r="H102" s="120"/>
    </row>
    <row r="103" spans="1:8">
      <c r="A103" s="28" t="s">
        <v>1135</v>
      </c>
      <c r="B103" s="45">
        <v>1</v>
      </c>
      <c r="D103" s="132" t="s">
        <v>1136</v>
      </c>
      <c r="E103" s="120" t="s">
        <v>1097</v>
      </c>
      <c r="F103" s="120">
        <v>2.72</v>
      </c>
      <c r="G103" s="122" t="s">
        <v>1137</v>
      </c>
      <c r="H103" s="121">
        <v>45470</v>
      </c>
    </row>
    <row r="104" spans="1:8">
      <c r="A104" s="28" t="s">
        <v>1138</v>
      </c>
      <c r="B104" s="45">
        <v>0.5</v>
      </c>
      <c r="D104" s="132" t="s">
        <v>1139</v>
      </c>
      <c r="E104" s="120" t="s">
        <v>6</v>
      </c>
      <c r="F104" s="120">
        <v>14.1</v>
      </c>
      <c r="G104" s="122" t="s">
        <v>1140</v>
      </c>
      <c r="H104" s="120"/>
    </row>
    <row r="105" spans="1:8">
      <c r="A105" s="28" t="s">
        <v>1141</v>
      </c>
      <c r="B105" s="45">
        <v>0.8</v>
      </c>
      <c r="D105" s="132" t="s">
        <v>1142</v>
      </c>
      <c r="E105" s="120" t="s">
        <v>583</v>
      </c>
      <c r="F105" s="120">
        <v>118.87</v>
      </c>
      <c r="G105" s="120" t="s">
        <v>1143</v>
      </c>
      <c r="H105" s="120" t="s">
        <v>1144</v>
      </c>
    </row>
    <row r="106" spans="1:8" ht="13.5" thickBot="1">
      <c r="A106" s="46" t="s">
        <v>1145</v>
      </c>
      <c r="B106" s="45">
        <v>2.8</v>
      </c>
      <c r="D106" s="132" t="s">
        <v>1146</v>
      </c>
      <c r="E106" s="120" t="s">
        <v>6</v>
      </c>
      <c r="F106" s="120">
        <v>0.24</v>
      </c>
      <c r="G106" s="122" t="s">
        <v>1147</v>
      </c>
      <c r="H106" s="121">
        <v>46468</v>
      </c>
    </row>
    <row r="107" spans="1:8" ht="13.5" thickBot="1">
      <c r="A107" s="46" t="s">
        <v>1148</v>
      </c>
      <c r="B107" s="45">
        <v>3.1</v>
      </c>
      <c r="D107" s="132" t="s">
        <v>1149</v>
      </c>
      <c r="E107" s="120" t="s">
        <v>1082</v>
      </c>
      <c r="F107" s="120">
        <v>-1.74</v>
      </c>
      <c r="G107" s="122" t="s">
        <v>1150</v>
      </c>
      <c r="H107" s="121">
        <v>46922</v>
      </c>
    </row>
    <row r="108" spans="1:8" ht="13.5" thickBot="1">
      <c r="A108" s="46" t="s">
        <v>1151</v>
      </c>
      <c r="B108" s="45">
        <v>5</v>
      </c>
    </row>
    <row r="111" spans="1:8">
      <c r="A111" t="s">
        <v>1152</v>
      </c>
    </row>
    <row r="112" spans="1:8">
      <c r="A112" t="s">
        <v>1153</v>
      </c>
    </row>
    <row r="113" spans="1:2">
      <c r="A113" t="s">
        <v>1154</v>
      </c>
    </row>
    <row r="115" spans="1:2">
      <c r="A115" s="23" t="s">
        <v>1155</v>
      </c>
      <c r="B115" s="24" t="s">
        <v>1156</v>
      </c>
    </row>
    <row r="116" spans="1:2">
      <c r="B116">
        <v>2410</v>
      </c>
    </row>
    <row r="117" spans="1:2">
      <c r="B117">
        <v>2264</v>
      </c>
    </row>
    <row r="118" spans="1:2">
      <c r="B118">
        <v>2118</v>
      </c>
    </row>
    <row r="119" spans="1:2">
      <c r="B119">
        <v>1972</v>
      </c>
    </row>
    <row r="120" spans="1:2">
      <c r="B120">
        <v>1826</v>
      </c>
    </row>
    <row r="121" spans="1:2">
      <c r="B121">
        <v>1680</v>
      </c>
    </row>
    <row r="122" spans="1:2">
      <c r="B122">
        <v>1534</v>
      </c>
    </row>
    <row r="123" spans="1:2">
      <c r="B123">
        <v>1387</v>
      </c>
    </row>
    <row r="124" spans="1:2">
      <c r="B124">
        <v>1241</v>
      </c>
    </row>
    <row r="125" spans="1:2">
      <c r="B125">
        <v>1095</v>
      </c>
    </row>
    <row r="126" spans="1:2">
      <c r="B126">
        <v>949</v>
      </c>
    </row>
  </sheetData>
  <phoneticPr fontId="17" type="noConversion"/>
  <hyperlinks>
    <hyperlink ref="G103" r:id="rId1" xr:uid="{667CCCD2-9544-479C-B9FD-1DE97DBB79D9}"/>
    <hyperlink ref="G104" r:id="rId2" xr:uid="{E585532F-5425-4C1B-BECE-C7FEDF51AA0C}"/>
    <hyperlink ref="G69" r:id="rId3" xr:uid="{06AD7AD4-9B3B-4D1D-8041-51A342083B18}"/>
    <hyperlink ref="G73" r:id="rId4" xr:uid="{C09B96D8-AB53-46B4-9694-C62BA3658AC3}"/>
    <hyperlink ref="G87" r:id="rId5" xr:uid="{2518D787-F3AC-408F-A003-103D60458535}"/>
    <hyperlink ref="G88" r:id="rId6" xr:uid="{E3D68DBB-F09D-4836-9E0D-AB10B4FED3AB}"/>
    <hyperlink ref="G89" r:id="rId7" xr:uid="{8AD942D4-1EE9-421E-B15F-94AC8DF478FB}"/>
    <hyperlink ref="G101" r:id="rId8" xr:uid="{5AA080EE-EA4B-44ED-9D95-E6FFD12FD16F}"/>
    <hyperlink ref="G106" r:id="rId9" xr:uid="{151989F7-8DA1-4454-8C85-EC6833104740}"/>
    <hyperlink ref="G76" r:id="rId10" xr:uid="{4CC358B3-720B-40DF-9727-D408C1AB7CBC}"/>
    <hyperlink ref="G75" r:id="rId11" xr:uid="{2E3D9111-F5C1-4444-965F-BFE7082AFFF4}"/>
    <hyperlink ref="G86" r:id="rId12" xr:uid="{B84A2424-8A7B-4B5B-B317-90DC332044BF}"/>
    <hyperlink ref="G95" r:id="rId13" xr:uid="{852D3BC1-6CFE-4463-8249-2C0245F8B131}"/>
    <hyperlink ref="G97" r:id="rId14" xr:uid="{ADED7727-A9D6-4A88-B77A-DF1ADC28C8E1}"/>
    <hyperlink ref="G72" r:id="rId15" xr:uid="{6F4E63AC-2704-46A4-A715-886151A4B197}"/>
    <hyperlink ref="G80" r:id="rId16" xr:uid="{14189888-8E7D-43AB-95CE-232D99122A03}"/>
    <hyperlink ref="G79" r:id="rId17" xr:uid="{85B9BD3F-8F5A-4FD2-B6E8-F49A1F7CE127}"/>
    <hyperlink ref="G107" r:id="rId18" xr:uid="{1008DD8B-93BF-4B74-8725-C627450E902A}"/>
    <hyperlink ref="G84" r:id="rId19" xr:uid="{71E6CB75-AA49-4047-8C6F-D353B3359EBF}"/>
    <hyperlink ref="G93" r:id="rId20" xr:uid="{212A170A-AEB8-4273-ABEA-9CBD3BE2A3D9}"/>
  </hyperlinks>
  <pageMargins left="0.7" right="0.7" top="0.75" bottom="0.75" header="0.3" footer="0.3"/>
  <pageSetup orientation="portrait" r:id="rId21"/>
  <drawing r:id="rId22"/>
  <tableParts count="3">
    <tablePart r:id="rId23"/>
    <tablePart r:id="rId24"/>
    <tablePart r:id="rId2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F66F1-C11A-4174-9C52-058D7ED5B5F7}">
  <dimension ref="A2:Q52"/>
  <sheetViews>
    <sheetView topLeftCell="A80" workbookViewId="0">
      <selection activeCell="K2" sqref="K2"/>
    </sheetView>
  </sheetViews>
  <sheetFormatPr defaultColWidth="11.42578125" defaultRowHeight="12.75"/>
  <cols>
    <col min="4" max="4" width="14.42578125" customWidth="1"/>
    <col min="7" max="7" width="14" customWidth="1"/>
    <col min="11" max="11" width="13.7109375" customWidth="1"/>
  </cols>
  <sheetData>
    <row r="2" spans="1:17">
      <c r="A2" s="29" t="s">
        <v>1157</v>
      </c>
      <c r="B2" s="30"/>
      <c r="C2" s="30"/>
      <c r="D2" s="30"/>
      <c r="E2" s="30"/>
      <c r="F2" s="30"/>
      <c r="G2" s="30"/>
      <c r="H2" s="30"/>
      <c r="I2" s="30"/>
      <c r="J2" s="30"/>
      <c r="K2" s="30"/>
      <c r="L2" s="30"/>
      <c r="M2" s="30"/>
      <c r="N2" s="30"/>
      <c r="O2" s="30"/>
      <c r="P2" s="30"/>
      <c r="Q2" s="30"/>
    </row>
    <row r="3" spans="1:17">
      <c r="B3" t="s">
        <v>1157</v>
      </c>
      <c r="C3" s="31" t="s">
        <v>1158</v>
      </c>
    </row>
    <row r="13" spans="1:17">
      <c r="J13" s="32">
        <v>2.82</v>
      </c>
      <c r="K13" s="32" t="s">
        <v>1159</v>
      </c>
      <c r="L13" t="s">
        <v>1048</v>
      </c>
    </row>
    <row r="15" spans="1:17">
      <c r="J15" s="33" t="s">
        <v>1160</v>
      </c>
      <c r="K15" s="34" t="s">
        <v>1161</v>
      </c>
    </row>
    <row r="16" spans="1:17">
      <c r="J16" s="33" t="s">
        <v>1162</v>
      </c>
      <c r="K16" s="34" t="s">
        <v>1163</v>
      </c>
      <c r="L16" t="s">
        <v>1164</v>
      </c>
    </row>
    <row r="31" spans="10:10">
      <c r="J31" t="s">
        <v>1165</v>
      </c>
    </row>
    <row r="35" spans="1:17" ht="24" customHeight="1"/>
    <row r="36" spans="1:17">
      <c r="A36" s="29" t="s">
        <v>1166</v>
      </c>
      <c r="B36" s="30"/>
      <c r="C36" s="30"/>
      <c r="D36" s="30"/>
      <c r="E36" s="30"/>
      <c r="F36" s="30"/>
      <c r="G36" s="30"/>
      <c r="H36" s="30"/>
      <c r="I36" s="30"/>
      <c r="J36" s="30"/>
      <c r="K36" s="30"/>
      <c r="L36" s="30"/>
      <c r="M36" s="30"/>
      <c r="N36" s="30"/>
      <c r="O36" s="30"/>
      <c r="P36" s="30"/>
      <c r="Q36" s="30"/>
    </row>
    <row r="37" spans="1:17">
      <c r="A37" s="35"/>
      <c r="B37" s="36" t="s">
        <v>1167</v>
      </c>
      <c r="C37" s="37"/>
      <c r="D37" s="37"/>
      <c r="E37" s="37"/>
      <c r="F37" s="37"/>
      <c r="G37" s="37"/>
      <c r="H37" s="37"/>
      <c r="I37" s="37"/>
      <c r="J37" s="37"/>
      <c r="K37" s="37"/>
      <c r="L37" s="37"/>
      <c r="M37" s="37"/>
      <c r="N37" s="37"/>
      <c r="O37" s="37"/>
      <c r="P37" s="37"/>
      <c r="Q37" s="37"/>
    </row>
    <row r="38" spans="1:17">
      <c r="B38" s="38" t="s">
        <v>1168</v>
      </c>
      <c r="C38" s="38"/>
      <c r="D38" s="38"/>
    </row>
    <row r="39" spans="1:17" ht="25.5">
      <c r="B39" s="38"/>
      <c r="C39" s="38">
        <v>0.33679999999999999</v>
      </c>
      <c r="D39" s="39" t="s">
        <v>1169</v>
      </c>
      <c r="F39">
        <f>C39*1000</f>
        <v>336.8</v>
      </c>
      <c r="G39" s="40" t="s">
        <v>1170</v>
      </c>
      <c r="H39">
        <v>1000</v>
      </c>
      <c r="I39" t="s">
        <v>1171</v>
      </c>
    </row>
    <row r="40" spans="1:17">
      <c r="E40" t="s">
        <v>1048</v>
      </c>
      <c r="F40" s="32">
        <f>F39/1000</f>
        <v>0.33679999999999999</v>
      </c>
      <c r="G40" s="32" t="s">
        <v>1172</v>
      </c>
    </row>
    <row r="41" spans="1:17">
      <c r="J41" t="s">
        <v>1171</v>
      </c>
      <c r="K41" t="s">
        <v>1173</v>
      </c>
    </row>
    <row r="42" spans="1:17">
      <c r="E42" t="s">
        <v>1164</v>
      </c>
      <c r="F42" s="33" t="s">
        <v>1174</v>
      </c>
      <c r="G42" s="34" t="s">
        <v>1161</v>
      </c>
      <c r="J42">
        <v>14.1</v>
      </c>
      <c r="K42">
        <v>1</v>
      </c>
    </row>
    <row r="43" spans="1:17">
      <c r="J43">
        <v>3229</v>
      </c>
      <c r="K43">
        <f>J43/J42</f>
        <v>229.00709219858157</v>
      </c>
    </row>
    <row r="45" spans="1:17">
      <c r="A45" s="29" t="s">
        <v>1175</v>
      </c>
      <c r="B45" s="30"/>
      <c r="C45" s="30"/>
      <c r="D45" s="30"/>
      <c r="E45" s="30"/>
      <c r="F45" s="30"/>
      <c r="G45" s="30"/>
      <c r="H45" s="30"/>
      <c r="I45" s="30"/>
      <c r="J45" s="30"/>
      <c r="K45" s="30"/>
      <c r="L45" s="30"/>
      <c r="M45" s="30"/>
      <c r="N45" s="30"/>
      <c r="O45" s="30"/>
      <c r="P45" s="30"/>
      <c r="Q45" s="30"/>
    </row>
    <row r="48" spans="1:17">
      <c r="C48" s="41" t="s">
        <v>1176</v>
      </c>
      <c r="F48" s="33">
        <v>3.7699999999999997E-2</v>
      </c>
      <c r="G48" s="34" t="s">
        <v>1161</v>
      </c>
    </row>
    <row r="49" spans="3:7">
      <c r="D49" s="1552" t="s">
        <v>1177</v>
      </c>
      <c r="E49" s="1552"/>
      <c r="F49" s="42">
        <v>0.36</v>
      </c>
      <c r="G49" s="43" t="s">
        <v>1161</v>
      </c>
    </row>
    <row r="51" spans="3:7">
      <c r="C51" s="41" t="s">
        <v>1178</v>
      </c>
      <c r="F51" s="44">
        <v>2.7E-2</v>
      </c>
      <c r="G51" s="34" t="s">
        <v>1161</v>
      </c>
    </row>
    <row r="52" spans="3:7">
      <c r="D52" s="1552" t="s">
        <v>1177</v>
      </c>
      <c r="E52" s="1552"/>
      <c r="F52" s="42">
        <v>0.36</v>
      </c>
      <c r="G52" s="43" t="s">
        <v>1161</v>
      </c>
    </row>
  </sheetData>
  <mergeCells count="2">
    <mergeCell ref="D49:E49"/>
    <mergeCell ref="D52:E52"/>
  </mergeCells>
  <hyperlinks>
    <hyperlink ref="C3" r:id="rId1" display="http://www.thermal.cl/docs/normas/conama___gui__a_para_la_estimacio__n_de_emisiones___retc__.pdf" xr:uid="{7B4E97AB-D742-4AF4-B0D6-93524C2174F0}"/>
    <hyperlink ref="B37" r:id="rId2" display="http://energiaabierta.cl/visualizaciones/factor-de-emision-sic-sing/" xr:uid="{65070014-7F8F-4C9F-89C5-C189FF44EBF6}"/>
  </hyperlinks>
  <pageMargins left="0.7" right="0.7" top="0.75" bottom="0.75" header="0.3" footer="0.3"/>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E6F2-0777-4775-9BF7-9210E5038895}">
  <dimension ref="B1:N126"/>
  <sheetViews>
    <sheetView zoomScale="90" zoomScaleNormal="90" workbookViewId="0">
      <selection activeCell="I8" sqref="I8"/>
    </sheetView>
  </sheetViews>
  <sheetFormatPr defaultColWidth="11.5703125" defaultRowHeight="12.75"/>
  <cols>
    <col min="2" max="2" width="63" style="1" customWidth="1"/>
    <col min="3" max="3" width="24.7109375" style="1" customWidth="1"/>
    <col min="4" max="4" width="18.28515625" customWidth="1"/>
    <col min="6" max="6" width="28.7109375" style="1" customWidth="1"/>
    <col min="7" max="7" width="28.7109375" customWidth="1"/>
    <col min="8" max="8" width="17.5703125" customWidth="1"/>
    <col min="9" max="9" width="59.7109375" bestFit="1" customWidth="1"/>
    <col min="10" max="10" width="44.5703125" customWidth="1"/>
  </cols>
  <sheetData>
    <row r="1" spans="2:8">
      <c r="B1" s="304" t="s">
        <v>1179</v>
      </c>
      <c r="C1" s="138" t="s">
        <v>540</v>
      </c>
      <c r="D1" s="138" t="s">
        <v>558</v>
      </c>
      <c r="E1" s="138" t="s">
        <v>539</v>
      </c>
      <c r="F1" s="138" t="s">
        <v>559</v>
      </c>
      <c r="G1" s="304" t="s">
        <v>1046</v>
      </c>
      <c r="H1" s="304" t="s">
        <v>1180</v>
      </c>
    </row>
    <row r="2" spans="2:8">
      <c r="B2" s="305" t="s">
        <v>1181</v>
      </c>
      <c r="C2" s="305" t="s">
        <v>1118</v>
      </c>
      <c r="D2" s="305">
        <v>1430</v>
      </c>
      <c r="E2" s="306" t="s">
        <v>1123</v>
      </c>
      <c r="F2" s="307">
        <v>45776</v>
      </c>
      <c r="G2" s="307" t="s">
        <v>1048</v>
      </c>
      <c r="H2" s="487"/>
    </row>
    <row r="3" spans="2:8">
      <c r="B3" s="305" t="s">
        <v>1182</v>
      </c>
      <c r="C3" s="318" t="s">
        <v>1118</v>
      </c>
      <c r="D3" s="318">
        <v>3.3450000000000002</v>
      </c>
      <c r="E3" s="314" t="s">
        <v>1183</v>
      </c>
      <c r="F3" s="307">
        <v>46651</v>
      </c>
      <c r="G3" s="305" t="s">
        <v>1184</v>
      </c>
      <c r="H3" s="120"/>
    </row>
    <row r="4" spans="2:8">
      <c r="B4" s="318" t="s">
        <v>1185</v>
      </c>
      <c r="C4" s="318" t="s">
        <v>1118</v>
      </c>
      <c r="D4" s="318">
        <v>2.6989999999999998</v>
      </c>
      <c r="E4" s="314" t="s">
        <v>1183</v>
      </c>
      <c r="F4" s="307">
        <v>46651</v>
      </c>
      <c r="G4" s="305" t="s">
        <v>1184</v>
      </c>
      <c r="H4" s="120"/>
    </row>
    <row r="5" spans="2:8">
      <c r="B5" s="318" t="s">
        <v>1186</v>
      </c>
      <c r="C5" s="318" t="s">
        <v>1118</v>
      </c>
      <c r="D5" s="318">
        <v>2.6989999999999998</v>
      </c>
      <c r="E5" s="314" t="s">
        <v>1183</v>
      </c>
      <c r="F5" s="307">
        <v>46651</v>
      </c>
      <c r="G5" s="305" t="s">
        <v>1184</v>
      </c>
      <c r="H5" s="120"/>
    </row>
    <row r="6" spans="2:8">
      <c r="B6" s="308" t="s">
        <v>1187</v>
      </c>
      <c r="C6" s="120" t="s">
        <v>1118</v>
      </c>
      <c r="D6" s="305">
        <v>2.94</v>
      </c>
      <c r="E6" s="309" t="s">
        <v>1188</v>
      </c>
      <c r="F6" s="310">
        <v>46588</v>
      </c>
      <c r="G6" s="311" t="s">
        <v>1189</v>
      </c>
      <c r="H6" s="120"/>
    </row>
    <row r="7" spans="2:8">
      <c r="B7" s="312" t="s">
        <v>1190</v>
      </c>
      <c r="C7" s="312" t="s">
        <v>1082</v>
      </c>
      <c r="D7" s="312">
        <v>294</v>
      </c>
      <c r="E7" s="319" t="s">
        <v>1131</v>
      </c>
      <c r="F7" s="310">
        <v>45580</v>
      </c>
      <c r="G7" s="312" t="s">
        <v>1048</v>
      </c>
      <c r="H7" s="120"/>
    </row>
    <row r="8" spans="2:8">
      <c r="B8" s="305" t="s">
        <v>1191</v>
      </c>
      <c r="C8" s="305" t="s">
        <v>6</v>
      </c>
      <c r="D8" s="305">
        <v>4.28</v>
      </c>
      <c r="E8" s="314" t="s">
        <v>1085</v>
      </c>
      <c r="F8" s="307">
        <v>46324</v>
      </c>
      <c r="G8" s="307" t="s">
        <v>1192</v>
      </c>
      <c r="H8" s="120"/>
    </row>
    <row r="9" spans="2:8">
      <c r="B9" s="305" t="s">
        <v>1100</v>
      </c>
      <c r="C9" s="305" t="s">
        <v>6</v>
      </c>
      <c r="D9" s="305">
        <v>4.3899999999999997</v>
      </c>
      <c r="E9" s="492" t="s">
        <v>1193</v>
      </c>
      <c r="F9" s="307">
        <v>46593</v>
      </c>
      <c r="G9" s="305" t="s">
        <v>1048</v>
      </c>
      <c r="H9" s="120"/>
    </row>
    <row r="10" spans="2:8">
      <c r="B10" s="305" t="s">
        <v>1194</v>
      </c>
      <c r="C10" s="305" t="s">
        <v>6</v>
      </c>
      <c r="D10" s="305">
        <v>6.42</v>
      </c>
      <c r="E10" s="314" t="s">
        <v>1067</v>
      </c>
      <c r="F10" s="307">
        <v>45384</v>
      </c>
      <c r="G10" s="307" t="s">
        <v>1195</v>
      </c>
      <c r="H10" s="120"/>
    </row>
    <row r="11" spans="2:8">
      <c r="B11" s="305" t="s">
        <v>1196</v>
      </c>
      <c r="C11" s="305" t="s">
        <v>6</v>
      </c>
      <c r="D11" s="305">
        <v>1.0900000000000001</v>
      </c>
      <c r="E11" s="314" t="s">
        <v>1076</v>
      </c>
      <c r="F11" s="307">
        <v>46504</v>
      </c>
      <c r="G11" s="307" t="s">
        <v>1048</v>
      </c>
      <c r="H11" s="120"/>
    </row>
    <row r="12" spans="2:8">
      <c r="B12" s="305" t="s">
        <v>1078</v>
      </c>
      <c r="C12" s="305" t="s">
        <v>6</v>
      </c>
      <c r="D12" s="305">
        <v>4.8099999999999996</v>
      </c>
      <c r="E12" s="319" t="s">
        <v>1079</v>
      </c>
      <c r="F12" s="307">
        <v>46496</v>
      </c>
      <c r="G12" s="307" t="s">
        <v>1048</v>
      </c>
      <c r="H12" s="120"/>
    </row>
    <row r="13" spans="2:8">
      <c r="B13" s="305" t="s">
        <v>1087</v>
      </c>
      <c r="C13" s="305" t="s">
        <v>6</v>
      </c>
      <c r="D13" s="305">
        <v>3.8</v>
      </c>
      <c r="E13" s="314" t="s">
        <v>1088</v>
      </c>
      <c r="F13" s="307">
        <v>46476</v>
      </c>
      <c r="G13" s="307" t="s">
        <v>1048</v>
      </c>
      <c r="H13" s="120"/>
    </row>
    <row r="14" spans="2:8">
      <c r="B14" s="305" t="s">
        <v>1197</v>
      </c>
      <c r="C14" s="305" t="s">
        <v>6</v>
      </c>
      <c r="D14" s="305">
        <v>4.0599999999999996</v>
      </c>
      <c r="E14" s="314" t="s">
        <v>1108</v>
      </c>
      <c r="F14" s="307">
        <v>46476</v>
      </c>
      <c r="G14" s="307" t="s">
        <v>1048</v>
      </c>
      <c r="H14" s="120"/>
    </row>
    <row r="15" spans="2:8">
      <c r="B15" s="305" t="s">
        <v>1198</v>
      </c>
      <c r="C15" s="305" t="s">
        <v>6</v>
      </c>
      <c r="D15" s="305">
        <v>4.13</v>
      </c>
      <c r="E15" s="314" t="s">
        <v>1108</v>
      </c>
      <c r="F15" s="307">
        <v>46476</v>
      </c>
      <c r="G15" s="307" t="s">
        <v>1048</v>
      </c>
      <c r="H15" s="120"/>
    </row>
    <row r="16" spans="2:8">
      <c r="B16" s="305" t="s">
        <v>1199</v>
      </c>
      <c r="C16" s="305" t="s">
        <v>1082</v>
      </c>
      <c r="D16" s="305">
        <v>320</v>
      </c>
      <c r="E16" s="314" t="s">
        <v>1106</v>
      </c>
      <c r="F16" s="307">
        <v>46740</v>
      </c>
      <c r="G16" s="307" t="s">
        <v>1048</v>
      </c>
      <c r="H16" s="120"/>
    </row>
    <row r="17" spans="2:8">
      <c r="B17" s="305" t="s">
        <v>1200</v>
      </c>
      <c r="C17" s="305" t="s">
        <v>1082</v>
      </c>
      <c r="D17" s="305">
        <v>242.58</v>
      </c>
      <c r="E17" s="314" t="s">
        <v>1201</v>
      </c>
      <c r="F17" s="307" t="s">
        <v>1202</v>
      </c>
      <c r="G17" s="305" t="s">
        <v>1203</v>
      </c>
      <c r="H17" s="120"/>
    </row>
    <row r="18" spans="2:8">
      <c r="B18" s="312" t="s">
        <v>1204</v>
      </c>
      <c r="C18" s="312" t="s">
        <v>1082</v>
      </c>
      <c r="D18" s="312">
        <v>548</v>
      </c>
      <c r="E18" s="492" t="s">
        <v>1205</v>
      </c>
      <c r="F18" s="307">
        <v>46732</v>
      </c>
      <c r="G18" s="305" t="s">
        <v>1195</v>
      </c>
      <c r="H18" s="120"/>
    </row>
    <row r="19" spans="2:8">
      <c r="B19" s="308" t="s">
        <v>1206</v>
      </c>
      <c r="C19" s="308" t="s">
        <v>1082</v>
      </c>
      <c r="D19" s="308">
        <v>137.19</v>
      </c>
      <c r="E19" s="314" t="s">
        <v>1207</v>
      </c>
      <c r="F19" s="310">
        <v>45839</v>
      </c>
      <c r="G19" s="311" t="s">
        <v>1203</v>
      </c>
      <c r="H19" s="120"/>
    </row>
    <row r="20" spans="2:8">
      <c r="B20" s="308" t="s">
        <v>1208</v>
      </c>
      <c r="C20" s="308" t="s">
        <v>1082</v>
      </c>
      <c r="D20" s="308">
        <v>29.87</v>
      </c>
      <c r="E20" s="314" t="s">
        <v>1209</v>
      </c>
      <c r="F20" s="310">
        <v>46187</v>
      </c>
      <c r="G20" s="311" t="s">
        <v>1210</v>
      </c>
      <c r="H20" s="120"/>
    </row>
    <row r="21" spans="2:8">
      <c r="B21" s="305" t="s">
        <v>1102</v>
      </c>
      <c r="C21" s="305" t="s">
        <v>1082</v>
      </c>
      <c r="D21" s="305">
        <v>262</v>
      </c>
      <c r="E21" s="314" t="s">
        <v>1103</v>
      </c>
      <c r="F21" s="307">
        <v>46909</v>
      </c>
      <c r="G21" s="307" t="s">
        <v>1211</v>
      </c>
      <c r="H21" s="120"/>
    </row>
    <row r="22" spans="2:8">
      <c r="B22" s="305" t="s">
        <v>1212</v>
      </c>
      <c r="C22" s="305" t="s">
        <v>6</v>
      </c>
      <c r="D22" s="305">
        <v>36.43</v>
      </c>
      <c r="E22" s="314" t="s">
        <v>1213</v>
      </c>
      <c r="F22" s="307">
        <v>46077</v>
      </c>
      <c r="G22" s="307" t="s">
        <v>1214</v>
      </c>
      <c r="H22" s="120"/>
    </row>
    <row r="23" spans="2:8">
      <c r="B23" s="148" t="s">
        <v>1215</v>
      </c>
      <c r="C23" s="305" t="s">
        <v>6</v>
      </c>
      <c r="D23" s="305">
        <v>41.56</v>
      </c>
      <c r="E23" s="314" t="s">
        <v>1213</v>
      </c>
      <c r="F23" s="307">
        <v>46077</v>
      </c>
      <c r="G23" s="307" t="s">
        <v>1214</v>
      </c>
      <c r="H23" s="120"/>
    </row>
    <row r="24" spans="2:8">
      <c r="B24" s="148" t="s">
        <v>1216</v>
      </c>
      <c r="C24" s="305" t="s">
        <v>6</v>
      </c>
      <c r="D24" s="305">
        <v>47.39</v>
      </c>
      <c r="E24" s="314" t="s">
        <v>1213</v>
      </c>
      <c r="F24" s="307">
        <v>46077</v>
      </c>
      <c r="G24" s="307" t="s">
        <v>1214</v>
      </c>
      <c r="H24" s="120"/>
    </row>
    <row r="25" spans="2:8">
      <c r="B25" s="305" t="s">
        <v>1217</v>
      </c>
      <c r="C25" s="305" t="s">
        <v>1097</v>
      </c>
      <c r="D25" s="305">
        <v>0.12</v>
      </c>
      <c r="E25" s="314" t="s">
        <v>1120</v>
      </c>
      <c r="F25" s="307">
        <v>46334</v>
      </c>
      <c r="G25" s="307" t="s">
        <v>1218</v>
      </c>
      <c r="H25" s="120"/>
    </row>
    <row r="26" spans="2:8">
      <c r="B26" s="305" t="s">
        <v>1136</v>
      </c>
      <c r="C26" s="305" t="s">
        <v>1118</v>
      </c>
      <c r="D26" s="305">
        <v>2720</v>
      </c>
      <c r="E26" s="314" t="s">
        <v>1137</v>
      </c>
      <c r="F26" s="307">
        <v>45470</v>
      </c>
      <c r="G26" s="307" t="s">
        <v>1195</v>
      </c>
      <c r="H26" s="120"/>
    </row>
    <row r="27" spans="2:8">
      <c r="B27" s="148" t="s">
        <v>1219</v>
      </c>
      <c r="C27" s="316" t="s">
        <v>6</v>
      </c>
      <c r="D27" s="316">
        <v>8.5500000000000007</v>
      </c>
      <c r="E27" s="314" t="s">
        <v>1220</v>
      </c>
      <c r="F27" s="307">
        <v>46903</v>
      </c>
      <c r="G27" s="317" t="s">
        <v>1211</v>
      </c>
      <c r="H27" s="120"/>
    </row>
    <row r="28" spans="2:8">
      <c r="B28" s="148" t="s">
        <v>1221</v>
      </c>
      <c r="C28" s="305" t="s">
        <v>591</v>
      </c>
      <c r="D28" s="305">
        <v>371</v>
      </c>
      <c r="E28" s="314" t="s">
        <v>1222</v>
      </c>
      <c r="F28" s="307">
        <v>46863</v>
      </c>
      <c r="G28" s="307" t="s">
        <v>1223</v>
      </c>
      <c r="H28" s="120"/>
    </row>
    <row r="29" spans="2:8">
      <c r="B29" s="305" t="s">
        <v>1099</v>
      </c>
      <c r="C29" s="305" t="s">
        <v>591</v>
      </c>
      <c r="D29" s="305">
        <v>57.9</v>
      </c>
      <c r="E29" s="308" t="s">
        <v>1224</v>
      </c>
      <c r="F29" s="307"/>
      <c r="G29" s="305"/>
      <c r="H29" s="120"/>
    </row>
    <row r="30" spans="2:8">
      <c r="B30" s="315" t="s">
        <v>1225</v>
      </c>
      <c r="C30" s="315" t="s">
        <v>6</v>
      </c>
      <c r="D30" s="315">
        <v>10.4</v>
      </c>
      <c r="E30" s="313" t="s">
        <v>1095</v>
      </c>
      <c r="F30" s="307">
        <v>46650</v>
      </c>
      <c r="G30" s="315"/>
      <c r="H30" s="120"/>
    </row>
    <row r="31" spans="2:8">
      <c r="B31" s="305" t="s">
        <v>1226</v>
      </c>
      <c r="C31" s="305" t="s">
        <v>1097</v>
      </c>
      <c r="D31" s="305">
        <v>3572</v>
      </c>
      <c r="E31" s="306" t="s">
        <v>1098</v>
      </c>
      <c r="F31" s="307">
        <v>46021</v>
      </c>
      <c r="G31" s="307"/>
      <c r="H31" s="120"/>
    </row>
    <row r="32" spans="2:8">
      <c r="B32" s="120" t="s">
        <v>1227</v>
      </c>
      <c r="C32" s="120" t="s">
        <v>6</v>
      </c>
      <c r="D32" s="120">
        <v>76.400000000000006</v>
      </c>
      <c r="E32" s="489" t="s">
        <v>1228</v>
      </c>
      <c r="F32" s="307">
        <v>46559</v>
      </c>
      <c r="G32" s="307" t="s">
        <v>1210</v>
      </c>
      <c r="H32" s="120"/>
    </row>
    <row r="33" spans="2:8">
      <c r="B33" s="305" t="s">
        <v>1133</v>
      </c>
      <c r="C33" s="305" t="s">
        <v>1097</v>
      </c>
      <c r="D33" s="305">
        <v>3.25</v>
      </c>
      <c r="E33" s="314" t="s">
        <v>1134</v>
      </c>
      <c r="F33" s="307">
        <v>46503</v>
      </c>
      <c r="G33" s="307" t="s">
        <v>1189</v>
      </c>
      <c r="H33" s="120"/>
    </row>
    <row r="34" spans="2:8">
      <c r="B34" s="305" t="s">
        <v>1139</v>
      </c>
      <c r="C34" s="305" t="s">
        <v>6</v>
      </c>
      <c r="D34" s="305">
        <v>14.1</v>
      </c>
      <c r="E34" s="314" t="s">
        <v>1140</v>
      </c>
      <c r="F34" s="307">
        <v>45429</v>
      </c>
      <c r="G34" s="307" t="s">
        <v>864</v>
      </c>
      <c r="H34" s="120"/>
    </row>
    <row r="35" spans="2:8">
      <c r="B35" s="305" t="s">
        <v>1229</v>
      </c>
      <c r="C35" s="305" t="s">
        <v>1230</v>
      </c>
      <c r="D35" s="305">
        <v>80</v>
      </c>
      <c r="E35" s="314" t="s">
        <v>1231</v>
      </c>
      <c r="F35" s="307">
        <v>45954</v>
      </c>
      <c r="G35" s="307" t="s">
        <v>1178</v>
      </c>
      <c r="H35" s="120"/>
    </row>
    <row r="36" spans="2:8">
      <c r="B36" s="120" t="s">
        <v>1232</v>
      </c>
      <c r="C36" s="120" t="s">
        <v>591</v>
      </c>
      <c r="D36" s="120">
        <v>67.55</v>
      </c>
      <c r="E36" s="314" t="s">
        <v>1231</v>
      </c>
      <c r="F36" s="307">
        <v>45954</v>
      </c>
      <c r="G36" s="307" t="s">
        <v>1178</v>
      </c>
      <c r="H36" s="120"/>
    </row>
    <row r="37" spans="2:8">
      <c r="B37" s="120" t="s">
        <v>1233</v>
      </c>
      <c r="C37" s="120" t="s">
        <v>1230</v>
      </c>
      <c r="D37" s="120">
        <v>67.8</v>
      </c>
      <c r="E37" s="489" t="s">
        <v>1234</v>
      </c>
      <c r="F37" s="307">
        <v>45551</v>
      </c>
      <c r="G37" s="307" t="s">
        <v>1178</v>
      </c>
      <c r="H37" s="120"/>
    </row>
    <row r="38" spans="2:8">
      <c r="B38" s="120" t="s">
        <v>1235</v>
      </c>
      <c r="C38" s="120" t="s">
        <v>591</v>
      </c>
      <c r="D38" s="120">
        <v>69.099999999999994</v>
      </c>
      <c r="E38" s="489" t="s">
        <v>1234</v>
      </c>
      <c r="F38" s="307">
        <v>45551</v>
      </c>
      <c r="G38" s="307" t="s">
        <v>1178</v>
      </c>
      <c r="H38" s="120"/>
    </row>
    <row r="39" spans="2:8">
      <c r="B39" s="120" t="s">
        <v>1236</v>
      </c>
      <c r="C39" s="120" t="s">
        <v>591</v>
      </c>
      <c r="D39" s="120">
        <v>499</v>
      </c>
      <c r="E39" s="489" t="s">
        <v>1237</v>
      </c>
      <c r="F39" s="307">
        <v>46235</v>
      </c>
      <c r="G39" s="307" t="s">
        <v>1178</v>
      </c>
      <c r="H39" s="120"/>
    </row>
    <row r="40" spans="2:8">
      <c r="B40" s="120" t="s">
        <v>1238</v>
      </c>
      <c r="C40" s="120" t="s">
        <v>1230</v>
      </c>
      <c r="D40" s="120">
        <v>14.6</v>
      </c>
      <c r="E40" s="489" t="s">
        <v>1239</v>
      </c>
      <c r="F40" s="307">
        <v>46174</v>
      </c>
      <c r="G40" s="307" t="s">
        <v>1178</v>
      </c>
      <c r="H40" s="120"/>
    </row>
    <row r="41" spans="2:8">
      <c r="B41" s="120" t="s">
        <v>1240</v>
      </c>
      <c r="C41" s="120" t="s">
        <v>591</v>
      </c>
      <c r="D41" s="120">
        <v>233</v>
      </c>
      <c r="E41" s="489" t="s">
        <v>1239</v>
      </c>
      <c r="F41" s="307">
        <v>46174</v>
      </c>
      <c r="G41" s="307" t="s">
        <v>1178</v>
      </c>
      <c r="H41" s="120"/>
    </row>
    <row r="42" spans="2:8">
      <c r="B42" s="305" t="s">
        <v>1241</v>
      </c>
      <c r="C42" s="305" t="s">
        <v>6</v>
      </c>
      <c r="D42" s="305">
        <v>0.24</v>
      </c>
      <c r="E42" s="314" t="s">
        <v>1147</v>
      </c>
      <c r="F42" s="307">
        <v>46468</v>
      </c>
      <c r="G42" s="307"/>
      <c r="H42" s="120"/>
    </row>
    <row r="43" spans="2:8">
      <c r="B43" s="305" t="s">
        <v>1242</v>
      </c>
      <c r="C43" s="305" t="s">
        <v>1082</v>
      </c>
      <c r="D43" s="305">
        <v>822</v>
      </c>
      <c r="E43" s="492" t="s">
        <v>1150</v>
      </c>
      <c r="F43" s="307">
        <v>46922</v>
      </c>
      <c r="G43" s="305" t="s">
        <v>1243</v>
      </c>
      <c r="H43" s="120"/>
    </row>
    <row r="44" spans="2:8">
      <c r="B44" s="305" t="s">
        <v>1244</v>
      </c>
      <c r="C44" s="305" t="s">
        <v>6</v>
      </c>
      <c r="D44" s="493">
        <f>1.6+0.128+1.76</f>
        <v>3.4880000000000004</v>
      </c>
      <c r="E44" s="492" t="s">
        <v>1245</v>
      </c>
      <c r="F44" s="307">
        <v>45789</v>
      </c>
      <c r="G44" s="305" t="s">
        <v>1195</v>
      </c>
      <c r="H44" s="120"/>
    </row>
    <row r="45" spans="2:8">
      <c r="B45" s="120" t="s">
        <v>1246</v>
      </c>
      <c r="C45" s="120" t="s">
        <v>1230</v>
      </c>
      <c r="D45" s="120">
        <v>267</v>
      </c>
      <c r="E45" s="122" t="s">
        <v>1247</v>
      </c>
      <c r="F45" s="307">
        <v>46419</v>
      </c>
      <c r="G45" s="307" t="s">
        <v>1178</v>
      </c>
      <c r="H45" s="120"/>
    </row>
    <row r="46" spans="2:8">
      <c r="B46" s="120" t="s">
        <v>1248</v>
      </c>
      <c r="C46" s="120" t="s">
        <v>591</v>
      </c>
      <c r="D46" s="120">
        <v>1310</v>
      </c>
      <c r="E46" s="122" t="s">
        <v>1247</v>
      </c>
      <c r="F46" s="307">
        <v>46419</v>
      </c>
      <c r="G46" s="307" t="s">
        <v>1178</v>
      </c>
      <c r="H46" s="120"/>
    </row>
    <row r="47" spans="2:8">
      <c r="B47" s="305" t="s">
        <v>1249</v>
      </c>
      <c r="C47" s="305" t="s">
        <v>591</v>
      </c>
      <c r="D47" s="305">
        <v>1610</v>
      </c>
      <c r="E47" s="492" t="s">
        <v>1250</v>
      </c>
      <c r="F47" s="307">
        <v>46101</v>
      </c>
      <c r="G47" s="305" t="s">
        <v>1178</v>
      </c>
      <c r="H47" s="120" t="s">
        <v>1251</v>
      </c>
    </row>
    <row r="48" spans="2:8">
      <c r="B48" s="305" t="s">
        <v>1252</v>
      </c>
      <c r="C48" s="305" t="s">
        <v>6</v>
      </c>
      <c r="D48" s="305">
        <v>135</v>
      </c>
      <c r="E48" s="492" t="s">
        <v>1253</v>
      </c>
      <c r="F48" s="307">
        <v>46379</v>
      </c>
      <c r="G48" s="305" t="s">
        <v>1178</v>
      </c>
      <c r="H48" s="120"/>
    </row>
    <row r="49" spans="2:8">
      <c r="B49" s="305" t="s">
        <v>1254</v>
      </c>
      <c r="C49" s="305" t="s">
        <v>1230</v>
      </c>
      <c r="D49" s="305">
        <v>152</v>
      </c>
      <c r="E49" s="492" t="s">
        <v>1255</v>
      </c>
      <c r="F49" s="307">
        <v>46692</v>
      </c>
      <c r="G49" s="305" t="s">
        <v>1178</v>
      </c>
      <c r="H49" s="120" t="s">
        <v>1256</v>
      </c>
    </row>
    <row r="50" spans="2:8">
      <c r="B50" s="305" t="s">
        <v>1257</v>
      </c>
      <c r="C50" s="305" t="s">
        <v>591</v>
      </c>
      <c r="D50" s="493">
        <f>5.32+0.0752+2.36</f>
        <v>7.7552000000000003</v>
      </c>
      <c r="E50" s="491" t="s">
        <v>1258</v>
      </c>
      <c r="F50" s="307">
        <v>46569</v>
      </c>
      <c r="G50" s="305" t="s">
        <v>1259</v>
      </c>
      <c r="H50" s="120" t="s">
        <v>1260</v>
      </c>
    </row>
    <row r="51" spans="2:8">
      <c r="B51" s="305" t="s">
        <v>1261</v>
      </c>
      <c r="C51" s="305" t="s">
        <v>591</v>
      </c>
      <c r="D51" s="305">
        <f>7960+218+339</f>
        <v>8517</v>
      </c>
      <c r="E51" s="492" t="s">
        <v>1262</v>
      </c>
      <c r="F51" s="307">
        <v>45830</v>
      </c>
      <c r="G51" s="305" t="s">
        <v>1263</v>
      </c>
      <c r="H51" s="120"/>
    </row>
    <row r="52" spans="2:8">
      <c r="B52" s="305" t="s">
        <v>1264</v>
      </c>
      <c r="C52" s="305" t="s">
        <v>1230</v>
      </c>
      <c r="D52" s="305">
        <v>147</v>
      </c>
      <c r="E52" s="492" t="s">
        <v>1265</v>
      </c>
      <c r="F52" s="307">
        <v>45156</v>
      </c>
      <c r="G52" s="305" t="s">
        <v>1178</v>
      </c>
      <c r="H52" s="488"/>
    </row>
    <row r="53" spans="2:8">
      <c r="B53" s="305" t="s">
        <v>1266</v>
      </c>
      <c r="C53" s="488" t="s">
        <v>591</v>
      </c>
      <c r="D53" s="305">
        <v>1180</v>
      </c>
      <c r="E53" s="492" t="s">
        <v>1265</v>
      </c>
      <c r="F53" s="307">
        <v>45156</v>
      </c>
      <c r="G53" s="305" t="s">
        <v>1178</v>
      </c>
      <c r="H53" s="488"/>
    </row>
    <row r="54" spans="2:8">
      <c r="B54" s="120"/>
      <c r="C54" s="120"/>
      <c r="D54" s="120"/>
      <c r="E54" s="120"/>
      <c r="G54" s="490"/>
      <c r="H54" s="120"/>
    </row>
    <row r="55" spans="2:8">
      <c r="B55" s="120"/>
      <c r="C55" s="120"/>
      <c r="D55" s="120"/>
      <c r="E55" s="120"/>
      <c r="G55" s="490"/>
      <c r="H55" s="120"/>
    </row>
    <row r="56" spans="2:8">
      <c r="B56" s="488"/>
      <c r="C56" s="488"/>
      <c r="D56" s="488"/>
      <c r="E56" s="488"/>
      <c r="G56" s="490"/>
      <c r="H56" s="488"/>
    </row>
    <row r="68" spans="4:14" ht="13.5" thickBot="1">
      <c r="D68">
        <v>8.7100000000000009</v>
      </c>
      <c r="E68">
        <f>10^2</f>
        <v>100</v>
      </c>
      <c r="F68">
        <f>D68*E68</f>
        <v>871.00000000000011</v>
      </c>
      <c r="I68" s="136" t="s">
        <v>1267</v>
      </c>
      <c r="J68" s="136" t="s">
        <v>196</v>
      </c>
      <c r="K68" s="136"/>
      <c r="L68" s="136"/>
      <c r="M68" s="136"/>
      <c r="N68" s="136"/>
    </row>
    <row r="69" spans="4:14">
      <c r="D69">
        <v>2.19</v>
      </c>
      <c r="E69">
        <f>10^1</f>
        <v>10</v>
      </c>
      <c r="F69">
        <f>D69*E69</f>
        <v>21.9</v>
      </c>
      <c r="I69" s="135" t="s">
        <v>1179</v>
      </c>
      <c r="J69" s="135" t="s">
        <v>557</v>
      </c>
    </row>
    <row r="70" spans="4:14">
      <c r="D70">
        <v>2.19</v>
      </c>
      <c r="E70">
        <f>10^0</f>
        <v>1</v>
      </c>
      <c r="F70">
        <f>D70*E70</f>
        <v>2.19</v>
      </c>
      <c r="I70" s="120" t="str">
        <f>B2</f>
        <v>Barra de refuerzo de acero_CAP Acero</v>
      </c>
      <c r="J70" s="1">
        <f>'A7'!C105</f>
        <v>0</v>
      </c>
    </row>
    <row r="71" spans="4:14">
      <c r="F71"/>
      <c r="I71" s="120" t="str">
        <f t="shared" ref="I71:I122" si="0">B3</f>
        <v xml:space="preserve">Arena </v>
      </c>
      <c r="J71" s="1" t="str">
        <f>'A7'!C106</f>
        <v>Biblioteca DAP Personal</v>
      </c>
    </row>
    <row r="72" spans="4:14">
      <c r="D72">
        <v>-1.74</v>
      </c>
      <c r="E72">
        <f>10^2</f>
        <v>100</v>
      </c>
      <c r="F72">
        <f>D72*E72</f>
        <v>-174</v>
      </c>
      <c r="I72" s="120" t="str">
        <f t="shared" si="0"/>
        <v>Relleno Triturada 3/8"</v>
      </c>
      <c r="J72" s="1" t="str">
        <f>'A7'!C107</f>
        <v>Material.Biblioteca.Personal</v>
      </c>
    </row>
    <row r="73" spans="4:14">
      <c r="E73" s="1"/>
      <c r="I73" s="120" t="str">
        <f t="shared" si="0"/>
        <v>Relleno Triturada 1"</v>
      </c>
      <c r="J73" s="1">
        <f>'A7'!C108</f>
        <v>0</v>
      </c>
    </row>
    <row r="74" spans="4:14">
      <c r="E74" s="1"/>
      <c r="I74" s="120" t="str">
        <f t="shared" si="0"/>
        <v>Grava 1,45 ton/m3</v>
      </c>
      <c r="J74" s="1">
        <f>'A7'!C109</f>
        <v>0</v>
      </c>
    </row>
    <row r="75" spans="4:14">
      <c r="E75" s="1"/>
      <c r="I75" s="120" t="str">
        <f t="shared" si="0"/>
        <v>Ready-Mix Concrete G025 (Hormigón)</v>
      </c>
      <c r="J75" s="1">
        <f>'A7'!C110</f>
        <v>0</v>
      </c>
    </row>
    <row r="76" spans="4:14">
      <c r="E76" s="1"/>
      <c r="I76" s="120" t="str">
        <f t="shared" si="0"/>
        <v>Estructura metalcon</v>
      </c>
      <c r="J76" s="1">
        <f>'A7'!C111</f>
        <v>0</v>
      </c>
    </row>
    <row r="77" spans="4:14">
      <c r="E77" s="1"/>
      <c r="I77" s="120" t="str">
        <f t="shared" si="0"/>
        <v>Impermeabilizante (membrana PVC)</v>
      </c>
      <c r="J77" s="1">
        <f>'A7'!C112</f>
        <v>0</v>
      </c>
    </row>
    <row r="78" spans="4:14">
      <c r="E78" s="1"/>
      <c r="I78" s="120" t="str">
        <f t="shared" si="0"/>
        <v>Poliestireno expandido 100mm</v>
      </c>
      <c r="J78" s="1">
        <f>'A7'!C113</f>
        <v>0</v>
      </c>
    </row>
    <row r="79" spans="4:14">
      <c r="E79" s="1"/>
      <c r="I79" s="120" t="str">
        <f t="shared" si="0"/>
        <v>Lana de vidrio_Aislanglass (50 mm)</v>
      </c>
      <c r="J79" s="1">
        <f>'A7'!C114</f>
        <v>0</v>
      </c>
    </row>
    <row r="80" spans="4:14">
      <c r="I80" s="120" t="str">
        <f t="shared" si="0"/>
        <v>Lana de vidrio 50mm</v>
      </c>
      <c r="J80" s="1">
        <f>'A7'!C115</f>
        <v>0</v>
      </c>
    </row>
    <row r="81" spans="9:10">
      <c r="I81" s="120" t="str">
        <f t="shared" si="0"/>
        <v>Plancha volcanita 15mm</v>
      </c>
      <c r="J81" s="1">
        <f>'A7'!C116</f>
        <v>0</v>
      </c>
    </row>
    <row r="82" spans="9:10">
      <c r="I82" s="120" t="str">
        <f t="shared" si="0"/>
        <v>Plancha de fibrocemento Siding 6mm</v>
      </c>
      <c r="J82" s="1">
        <f>'A7'!C117</f>
        <v>0</v>
      </c>
    </row>
    <row r="83" spans="9:10">
      <c r="I83" s="120" t="str">
        <f t="shared" si="0"/>
        <v>Plancha de fibrocemento Base cerámica 6mm</v>
      </c>
      <c r="J83" s="1">
        <f>'A7'!C118</f>
        <v>0</v>
      </c>
    </row>
    <row r="84" spans="9:10">
      <c r="I84" s="120" t="str">
        <f t="shared" si="0"/>
        <v>Plancha de madera terciada_CMPC 6,5-25mm</v>
      </c>
      <c r="J84" s="1">
        <f>'A7'!C119</f>
        <v>0</v>
      </c>
    </row>
    <row r="85" spans="9:10">
      <c r="I85" s="120" t="str">
        <f t="shared" si="0"/>
        <v>Plancha de OSB 9,5mm</v>
      </c>
      <c r="J85" s="1">
        <f>'A7'!C120</f>
        <v>0</v>
      </c>
    </row>
    <row r="86" spans="9:10">
      <c r="I86" s="120" t="str">
        <f t="shared" si="0"/>
        <v>Placa MDF (fibra de madera) 3-25mm</v>
      </c>
      <c r="J86" s="1">
        <f>'A7'!C121</f>
        <v>0</v>
      </c>
    </row>
    <row r="87" spans="9:10">
      <c r="I87" s="120" t="str">
        <f t="shared" si="0"/>
        <v>Madera Laminada Pino Radiata 50mm</v>
      </c>
      <c r="J87" s="1">
        <f>'A7'!C122</f>
        <v>0</v>
      </c>
    </row>
    <row r="88" spans="9:10">
      <c r="I88" s="120" t="str">
        <f t="shared" si="0"/>
        <v>Madera cepillada pino radiata</v>
      </c>
      <c r="J88" s="1">
        <f>'A7'!C123</f>
        <v>0</v>
      </c>
    </row>
    <row r="89" spans="9:10">
      <c r="I89" s="120" t="str">
        <f t="shared" si="0"/>
        <v>Madera CLT</v>
      </c>
      <c r="J89" s="1">
        <f>'A7'!C124</f>
        <v>0</v>
      </c>
    </row>
    <row r="90" spans="9:10">
      <c r="I90" s="120" t="str">
        <f t="shared" si="0"/>
        <v>Panel sandwich con aislante poliuretano expandido_40 mm</v>
      </c>
      <c r="J90" s="1">
        <f>'A7'!C125</f>
        <v>0</v>
      </c>
    </row>
    <row r="91" spans="9:10">
      <c r="I91" s="120" t="str">
        <f t="shared" si="0"/>
        <v>Panel sandwich con aislante poliuretano expandido_60 mm</v>
      </c>
      <c r="J91" s="1">
        <f>'A7'!C126</f>
        <v>0</v>
      </c>
    </row>
    <row r="92" spans="9:10">
      <c r="I92" s="120" t="str">
        <f t="shared" si="0"/>
        <v>Panel sandwich con aislante poliuretano expandido_80 mm</v>
      </c>
      <c r="J92" s="1">
        <f>'A7'!C127</f>
        <v>0</v>
      </c>
    </row>
    <row r="93" spans="9:10">
      <c r="I93" s="120" t="str">
        <f t="shared" si="0"/>
        <v>Ladrillo con perforaciones</v>
      </c>
      <c r="J93" s="1">
        <f>'A7'!C128</f>
        <v>0</v>
      </c>
    </row>
    <row r="94" spans="9:10">
      <c r="I94" s="120" t="str">
        <f t="shared" si="0"/>
        <v>Plancha de acero</v>
      </c>
      <c r="J94" s="1">
        <f>'A7'!C129</f>
        <v>0</v>
      </c>
    </row>
    <row r="95" spans="9:10">
      <c r="I95" s="120" t="str">
        <f t="shared" si="0"/>
        <v>Plancha acero zincalume</v>
      </c>
      <c r="J95" s="1">
        <f>'A7'!C130</f>
        <v>0</v>
      </c>
    </row>
    <row r="96" spans="9:10">
      <c r="I96" s="120" t="str">
        <f t="shared" si="0"/>
        <v>Perfil de acero (espesor 3 a 40 mm / largo 6 a 12 m)</v>
      </c>
      <c r="J96" s="1">
        <f>'A7'!C131</f>
        <v>0</v>
      </c>
    </row>
    <row r="97" spans="9:10">
      <c r="I97" s="120" t="str">
        <f t="shared" si="0"/>
        <v>Puertas madera</v>
      </c>
      <c r="J97" s="1">
        <f>'A7'!C132</f>
        <v>0</v>
      </c>
    </row>
    <row r="98" spans="9:10">
      <c r="I98" s="120" t="str">
        <f t="shared" si="0"/>
        <v xml:space="preserve">Vidrios Plano 4 mm </v>
      </c>
      <c r="J98" s="1">
        <f>'A7'!C133</f>
        <v>0</v>
      </c>
    </row>
    <row r="99" spans="9:10">
      <c r="I99" s="120" t="str">
        <f t="shared" si="0"/>
        <v>Marcos PVC</v>
      </c>
      <c r="J99" s="1">
        <f>'A7'!C134</f>
        <v>0</v>
      </c>
    </row>
    <row r="100" spans="9:10">
      <c r="I100" s="120" t="str">
        <f t="shared" si="0"/>
        <v>Ventana marco PVC y DVH</v>
      </c>
      <c r="J100" s="1">
        <f>'A7'!C135</f>
        <v>0</v>
      </c>
    </row>
    <row r="101" spans="9:10">
      <c r="I101" s="120" t="str">
        <f t="shared" si="0"/>
        <v>Polietileno</v>
      </c>
      <c r="J101" s="1">
        <f>'A7'!C136</f>
        <v>0</v>
      </c>
    </row>
    <row r="102" spans="9:10">
      <c r="I102" s="120" t="str">
        <f t="shared" si="0"/>
        <v>Cerámicas piso y muros</v>
      </c>
      <c r="J102" s="1">
        <f>'A7'!C137</f>
        <v>0</v>
      </c>
    </row>
    <row r="103" spans="9:10">
      <c r="I103" s="120" t="str">
        <f t="shared" si="0"/>
        <v>Radiador secatoallas con agua caliente 844W</v>
      </c>
      <c r="J103" s="1">
        <f>'A7'!C138</f>
        <v>0</v>
      </c>
    </row>
    <row r="104" spans="9:10">
      <c r="I104" s="120" t="str">
        <f t="shared" si="0"/>
        <v>Radiador secatoallas con aguacaliente 844W (unidad)</v>
      </c>
      <c r="J104" s="1">
        <f>'A7'!C139</f>
        <v>0</v>
      </c>
    </row>
    <row r="105" spans="9:10">
      <c r="I105" s="120" t="str">
        <f t="shared" si="0"/>
        <v>Radiador con agua caliente 1,019kw</v>
      </c>
      <c r="J105" s="1">
        <f>'A7'!C140</f>
        <v>0</v>
      </c>
    </row>
    <row r="106" spans="9:10">
      <c r="I106" s="120" t="str">
        <f t="shared" si="0"/>
        <v>Radiador con agua caliente 1,019kw (unidad)</v>
      </c>
      <c r="J106" s="1">
        <f>'A7'!C141</f>
        <v>0</v>
      </c>
    </row>
    <row r="107" spans="9:10">
      <c r="I107" s="120" t="str">
        <f t="shared" si="0"/>
        <v>Acumulador ACS 200 lts</v>
      </c>
      <c r="J107" s="1">
        <f>'A7'!C142</f>
        <v>0</v>
      </c>
    </row>
    <row r="108" spans="9:10">
      <c r="I108" s="120" t="str">
        <f t="shared" si="0"/>
        <v>Caldera ACS a gas 16kw</v>
      </c>
      <c r="J108" s="1">
        <f>'A7'!C143</f>
        <v>0</v>
      </c>
    </row>
    <row r="109" spans="9:10">
      <c r="I109" s="120" t="str">
        <f t="shared" si="0"/>
        <v>Caldera ACS a gas 16kw (unidad)</v>
      </c>
      <c r="J109" s="1">
        <f>'A7'!C144</f>
        <v>0</v>
      </c>
    </row>
    <row r="110" spans="9:10">
      <c r="I110" s="120" t="str">
        <f t="shared" si="0"/>
        <v>Pintura interior al agua baja en COV</v>
      </c>
      <c r="J110" s="1">
        <f>'A7'!C145</f>
        <v>0</v>
      </c>
    </row>
    <row r="111" spans="9:10">
      <c r="I111" s="120" t="str">
        <f t="shared" si="0"/>
        <v>Piso laminado 12mm</v>
      </c>
      <c r="J111" s="1">
        <f>'A7'!C146</f>
        <v>0</v>
      </c>
    </row>
    <row r="112" spans="9:10">
      <c r="I112" s="120" t="str">
        <f t="shared" si="0"/>
        <v>Celulosa proyectada</v>
      </c>
      <c r="J112" s="1">
        <f>'A7'!C147</f>
        <v>0</v>
      </c>
    </row>
    <row r="113" spans="9:10">
      <c r="I113" s="120" t="str">
        <f t="shared" si="0"/>
        <v>Bomba de calor aire-agua frío o calor 4,89kw</v>
      </c>
      <c r="J113" s="1">
        <f>'A7'!C148</f>
        <v>0</v>
      </c>
    </row>
    <row r="114" spans="9:10">
      <c r="I114" s="120" t="str">
        <f t="shared" si="0"/>
        <v>Bomba de calor aire-agua frío o calor 4,89kw (unidad)</v>
      </c>
      <c r="J114" s="1">
        <f>'A7'!C149</f>
        <v>0</v>
      </c>
    </row>
    <row r="115" spans="9:10">
      <c r="I115" s="120" t="str">
        <f t="shared" si="0"/>
        <v>Calentador eléctrico de ACS</v>
      </c>
      <c r="J115" s="1">
        <f>'A7'!C150</f>
        <v>0</v>
      </c>
    </row>
    <row r="116" spans="9:10">
      <c r="I116" s="120" t="str">
        <f>B48</f>
        <v>Panel fotovoltaico 423Wp</v>
      </c>
    </row>
    <row r="117" spans="9:10">
      <c r="I117" s="120" t="str">
        <f t="shared" si="0"/>
        <v>Fancoil (potencia de calor 0,8-17KW y de frío 0,6-12KW)</v>
      </c>
    </row>
    <row r="118" spans="9:10">
      <c r="I118" s="120" t="str">
        <f t="shared" si="0"/>
        <v>Extractor / Ventilador (independiente) caudal 42m3/h</v>
      </c>
    </row>
    <row r="119" spans="9:10">
      <c r="I119" s="120" t="str">
        <f>B51</f>
        <v>Ascensor (5 pisos)</v>
      </c>
    </row>
    <row r="120" spans="9:10">
      <c r="I120" s="120" t="str">
        <f t="shared" si="0"/>
        <v>Caldera biomasa 8kw</v>
      </c>
    </row>
    <row r="121" spans="9:10">
      <c r="I121" s="120" t="str">
        <f t="shared" si="0"/>
        <v>Caldera biomasa 8kw (unidad)</v>
      </c>
    </row>
    <row r="122" spans="9:10">
      <c r="I122" s="120">
        <f t="shared" si="0"/>
        <v>0</v>
      </c>
    </row>
    <row r="124" spans="9:10">
      <c r="I124" s="137" t="s">
        <v>213</v>
      </c>
      <c r="J124" s="137" t="s">
        <v>69</v>
      </c>
    </row>
    <row r="125" spans="9:10">
      <c r="I125" s="137" t="s">
        <v>557</v>
      </c>
      <c r="J125" s="137" t="s">
        <v>1073</v>
      </c>
    </row>
    <row r="126" spans="9:10">
      <c r="I126" s="137" t="s">
        <v>557</v>
      </c>
      <c r="J126" s="137" t="s">
        <v>1268</v>
      </c>
    </row>
  </sheetData>
  <phoneticPr fontId="17" type="noConversion"/>
  <dataValidations disablePrompts="1" count="3">
    <dataValidation type="list" allowBlank="1" showInputMessage="1" showErrorMessage="1" sqref="B114:C114 I125" xr:uid="{6A090321-02AC-4A1B-A396-135F21B386FE}">
      <formula1>$I$69:$J$69</formula1>
    </dataValidation>
    <dataValidation type="list" allowBlank="1" showInputMessage="1" showErrorMessage="1" sqref="J125:J126" xr:uid="{0DD5E7B5-0BE4-416D-A65C-D92B3410626F}">
      <formula1>INDIRECT($I$125)</formula1>
    </dataValidation>
    <dataValidation type="list" allowBlank="1" showInputMessage="1" showErrorMessage="1" sqref="I126" xr:uid="{5BDEC0D1-AB74-4020-A501-D4D37A576430}">
      <formula1>"Material.Biblioteca.Minergie,Material.Biblioteca.Personal"</formula1>
    </dataValidation>
  </dataValidations>
  <hyperlinks>
    <hyperlink ref="E16" r:id="rId1" xr:uid="{334A0E0E-F565-4A48-BB02-BBD3E1EF8E51}"/>
    <hyperlink ref="E14" r:id="rId2" xr:uid="{01DB85A1-12E2-45EF-A9AE-EAFB00C535A2}"/>
    <hyperlink ref="E15" r:id="rId3" xr:uid="{44AC5874-1235-4380-B809-A1DB7A97B842}"/>
    <hyperlink ref="E22" r:id="rId4" xr:uid="{911DC8D4-2E83-4D63-A0D9-07502B4D4AFE}"/>
    <hyperlink ref="E23:E24" r:id="rId5" display="S-P-003362" xr:uid="{A29A40B9-4F0A-4912-A168-E59CC4F5B9AA}"/>
    <hyperlink ref="E28" r:id="rId6" xr:uid="{608F9B85-0FB4-4F11-AC64-B8F704FA1A11}"/>
    <hyperlink ref="E3" r:id="rId7" xr:uid="{C4CB1808-64FB-4289-BF4B-9BCCD72D8AEB}"/>
    <hyperlink ref="E4" r:id="rId8" xr:uid="{5F234122-91B1-4DAF-8ECB-F158B3C60112}"/>
    <hyperlink ref="E5" r:id="rId9" xr:uid="{27644A8B-ECF5-4385-8DFC-AB68FAA1771D}"/>
    <hyperlink ref="E7" r:id="rId10" xr:uid="{A75325A8-E16C-4EB3-9CD0-F1B0BB3BB0FB}"/>
    <hyperlink ref="E32" r:id="rId11" xr:uid="{BC0B816F-8B53-4618-AF02-2E516A3EF10B}"/>
    <hyperlink ref="E50" r:id="rId12" xr:uid="{2902E2AB-D3C7-43A0-8CC4-858C78046CC5}"/>
    <hyperlink ref="E51" r:id="rId13" xr:uid="{A274A125-B399-4641-952E-CFB5F277087C}"/>
    <hyperlink ref="E47" r:id="rId14" xr:uid="{00E75F08-9403-4BC0-84DD-6759483FC51B}"/>
    <hyperlink ref="E48" r:id="rId15" xr:uid="{C56301F5-E3CB-4719-8E0C-8821203656E2}"/>
    <hyperlink ref="E49" r:id="rId16" xr:uid="{DBE0A0CC-C620-4AE0-A123-64D8E46AC248}"/>
    <hyperlink ref="E44" r:id="rId17" xr:uid="{3BFEC7E2-839E-4C45-9A05-391851A7D17C}"/>
    <hyperlink ref="E10" r:id="rId18" xr:uid="{599EDE7C-3ABE-428F-8B31-FAB043BF40D2}"/>
    <hyperlink ref="E18" r:id="rId19" xr:uid="{5E882324-FE70-4D2F-83DE-2BD43AB03FDA}"/>
    <hyperlink ref="E8" r:id="rId20" xr:uid="{882E5007-0D54-4D43-8B04-B9F666D5C798}"/>
    <hyperlink ref="E9" r:id="rId21" xr:uid="{3C881416-16C7-41D6-9751-41FA0999825F}"/>
    <hyperlink ref="E11" r:id="rId22" xr:uid="{F7AA922C-23C4-428E-AB60-E9337084AABF}"/>
    <hyperlink ref="E12" r:id="rId23" xr:uid="{087A44A0-6627-47C2-B9D6-C6BD819BF672}"/>
    <hyperlink ref="E13" r:id="rId24" xr:uid="{571E807C-FF1C-403E-98F5-D7D8B0E58550}"/>
    <hyperlink ref="E21" r:id="rId25" xr:uid="{AC3C9B1C-D1A3-420C-864A-CCFF738A0745}"/>
    <hyperlink ref="E25" r:id="rId26" xr:uid="{013C2921-001E-442E-B758-B86F7C268A15}"/>
    <hyperlink ref="E26" r:id="rId27" xr:uid="{F35BD5C0-ED04-439B-BD44-23A4BB3F2923}"/>
    <hyperlink ref="E33" r:id="rId28" xr:uid="{271E375B-2BC5-44E4-83DB-794BBE698E06}"/>
    <hyperlink ref="E34" r:id="rId29" xr:uid="{C6642384-3B70-4073-B9F7-624C3ECEAB98}"/>
    <hyperlink ref="E42" r:id="rId30" xr:uid="{55F78077-5DEC-4CFC-9875-C34A76D9E6E6}"/>
    <hyperlink ref="E43" r:id="rId31" xr:uid="{9E22305F-C67F-4CF7-BBC7-FCFE96411A80}"/>
    <hyperlink ref="E19" r:id="rId32" xr:uid="{AB997647-D256-4641-854E-2081F65A00E2}"/>
    <hyperlink ref="E17" r:id="rId33" xr:uid="{A0FDAB17-429D-43A0-BDED-BBA66DBF1E3D}"/>
    <hyperlink ref="E6" r:id="rId34" xr:uid="{249ED02F-051A-4940-B4EC-2E2B52013E78}"/>
    <hyperlink ref="E27" r:id="rId35" xr:uid="{900167FE-59D9-4B04-A043-B68C0EE305F6}"/>
    <hyperlink ref="E35" r:id="rId36" xr:uid="{BEF985E5-0EE2-4780-B8C2-B0B1B84F7041}"/>
    <hyperlink ref="E36" r:id="rId37" xr:uid="{066C1370-6B20-479C-B24D-5299F445D9DE}"/>
    <hyperlink ref="E37" r:id="rId38" xr:uid="{52172280-112E-4D96-85A9-6CB9656486E4}"/>
    <hyperlink ref="E38" r:id="rId39" xr:uid="{C832D400-FCD1-4084-9D23-EDEE0E61AD9D}"/>
    <hyperlink ref="E39" r:id="rId40" xr:uid="{BE06441E-7051-4F6F-8D0C-1BCA236F459E}"/>
    <hyperlink ref="E40" r:id="rId41" xr:uid="{AF1B0585-654F-4304-ADE7-4C26CD81FE3C}"/>
    <hyperlink ref="E41" r:id="rId42" xr:uid="{D9A0A0C5-EBC4-4E68-9943-7D57EE79E88D}"/>
    <hyperlink ref="E45" r:id="rId43" xr:uid="{6259199E-E68D-41D6-9F23-7FF59ECC3996}"/>
    <hyperlink ref="E46" r:id="rId44" xr:uid="{DCAE3DBC-5660-4D95-B409-540E0CB8243D}"/>
    <hyperlink ref="E52" r:id="rId45" xr:uid="{4E7A33EF-5AFC-4273-8AF0-D947BE58272F}"/>
    <hyperlink ref="E53" r:id="rId46" xr:uid="{0B52E2F9-B48C-4236-815B-5434C4057705}"/>
  </hyperlinks>
  <pageMargins left="0.7" right="0.7" top="0.75" bottom="0.75" header="0.3" footer="0.3"/>
  <tableParts count="3">
    <tablePart r:id="rId47"/>
    <tablePart r:id="rId48"/>
    <tablePart r:id="rId4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75D5D-E6B4-4669-85CC-A3C011E73EFA}">
  <sheetPr>
    <tabColor rgb="FFFFFF00"/>
  </sheetPr>
  <dimension ref="A1:Y202"/>
  <sheetViews>
    <sheetView showGridLines="0" topLeftCell="C1" zoomScale="85" zoomScaleNormal="85" zoomScalePageLayoutView="80" workbookViewId="0">
      <selection activeCell="H16" sqref="H16:W16"/>
    </sheetView>
  </sheetViews>
  <sheetFormatPr defaultColWidth="8.7109375" defaultRowHeight="12.75"/>
  <cols>
    <col min="1" max="1" width="5.28515625" customWidth="1"/>
    <col min="2" max="2" width="23.7109375" customWidth="1"/>
    <col min="3" max="3" width="45.7109375" customWidth="1"/>
    <col min="4" max="6" width="15.7109375" customWidth="1"/>
    <col min="7" max="7" width="2.28515625" customWidth="1"/>
    <col min="8" max="8" width="29.5703125" customWidth="1"/>
    <col min="9" max="9" width="12.7109375" customWidth="1"/>
    <col min="11" max="11" width="14.28515625" customWidth="1"/>
    <col min="15" max="15" width="10" customWidth="1"/>
    <col min="16" max="22" width="11.5703125" style="1" customWidth="1"/>
    <col min="23" max="25" width="11.5703125" customWidth="1"/>
  </cols>
  <sheetData>
    <row r="1" spans="1:23" s="117" customFormat="1" ht="26.85" customHeight="1">
      <c r="A1" s="115" t="s">
        <v>13</v>
      </c>
      <c r="B1" s="116" t="s">
        <v>14</v>
      </c>
      <c r="C1" s="116"/>
      <c r="D1" s="116"/>
      <c r="E1" s="116" t="s">
        <v>4</v>
      </c>
      <c r="F1" s="116"/>
      <c r="G1" s="116"/>
      <c r="H1" s="116"/>
      <c r="I1" s="116" t="s">
        <v>5</v>
      </c>
      <c r="P1" s="796"/>
      <c r="Q1" s="796"/>
      <c r="R1" s="796"/>
      <c r="S1" s="796"/>
      <c r="T1" s="796"/>
      <c r="U1" s="796"/>
      <c r="V1" s="796"/>
    </row>
    <row r="2" spans="1:23" ht="13.5" thickBot="1">
      <c r="E2" s="887"/>
      <c r="F2" s="887"/>
      <c r="G2" s="887"/>
      <c r="H2" s="887"/>
      <c r="I2" s="887"/>
      <c r="J2" s="887"/>
      <c r="K2" s="887"/>
      <c r="L2" s="887"/>
      <c r="M2" s="887"/>
    </row>
    <row r="3" spans="1:23" ht="13.5" thickBot="1">
      <c r="B3" s="653" t="s">
        <v>15</v>
      </c>
      <c r="C3" s="654"/>
      <c r="D3" s="655"/>
      <c r="E3" s="887"/>
      <c r="F3" s="887"/>
      <c r="G3" s="887"/>
      <c r="H3" s="1071" t="s">
        <v>16</v>
      </c>
      <c r="I3" s="1072"/>
      <c r="J3" s="1072"/>
      <c r="K3" s="1072"/>
      <c r="L3" s="1072"/>
      <c r="M3" s="1072"/>
      <c r="N3" s="1072"/>
      <c r="O3" s="1072"/>
      <c r="P3" s="1072"/>
      <c r="Q3" s="1072"/>
      <c r="R3" s="1072"/>
      <c r="S3" s="1072"/>
      <c r="T3" s="1072"/>
      <c r="U3" s="1072"/>
      <c r="V3" s="1072"/>
      <c r="W3" s="1073"/>
    </row>
    <row r="4" spans="1:23" ht="27" customHeight="1" thickBot="1">
      <c r="B4" s="65" t="s">
        <v>17</v>
      </c>
      <c r="C4" s="69" t="s">
        <v>18</v>
      </c>
      <c r="D4" s="70" t="s">
        <v>7</v>
      </c>
      <c r="E4" s="887"/>
      <c r="F4" s="887"/>
      <c r="G4" s="887"/>
      <c r="H4" s="1079" t="s">
        <v>19</v>
      </c>
      <c r="I4" s="1081" t="s">
        <v>20</v>
      </c>
      <c r="J4" s="1081"/>
      <c r="K4" s="1081"/>
      <c r="L4" s="1081"/>
      <c r="M4" s="1081"/>
      <c r="N4" s="1081"/>
      <c r="O4" s="1081"/>
      <c r="P4" s="1081"/>
      <c r="Q4" s="1082" t="s">
        <v>21</v>
      </c>
      <c r="R4" s="1082"/>
      <c r="S4" s="1082"/>
      <c r="T4" s="1082"/>
      <c r="U4" s="1082"/>
      <c r="V4" s="1082"/>
      <c r="W4" s="1082"/>
    </row>
    <row r="5" spans="1:23" ht="38.25">
      <c r="B5" s="5" t="s">
        <v>22</v>
      </c>
      <c r="C5" s="72"/>
      <c r="D5" s="6" t="s">
        <v>9</v>
      </c>
      <c r="E5" s="887"/>
      <c r="F5" s="887"/>
      <c r="G5" s="887"/>
      <c r="H5" s="1080"/>
      <c r="I5" s="872" t="s">
        <v>23</v>
      </c>
      <c r="J5" s="872" t="s">
        <v>24</v>
      </c>
      <c r="K5" s="872" t="s">
        <v>25</v>
      </c>
      <c r="L5" s="872" t="s">
        <v>26</v>
      </c>
      <c r="M5" s="872" t="s">
        <v>27</v>
      </c>
      <c r="N5" s="872" t="s">
        <v>28</v>
      </c>
      <c r="O5" s="872" t="s">
        <v>29</v>
      </c>
      <c r="P5" s="872" t="s">
        <v>30</v>
      </c>
      <c r="Q5" s="872" t="s">
        <v>25</v>
      </c>
      <c r="R5" s="872" t="s">
        <v>26</v>
      </c>
      <c r="S5" s="872" t="s">
        <v>23</v>
      </c>
      <c r="T5" s="872" t="s">
        <v>24</v>
      </c>
      <c r="U5" s="872" t="s">
        <v>27</v>
      </c>
      <c r="V5" s="872" t="s">
        <v>28</v>
      </c>
      <c r="W5" s="874" t="s">
        <v>30</v>
      </c>
    </row>
    <row r="6" spans="1:23">
      <c r="B6" s="7" t="s">
        <v>31</v>
      </c>
      <c r="C6" s="73"/>
      <c r="D6" s="10" t="s">
        <v>9</v>
      </c>
      <c r="E6" s="887"/>
      <c r="F6" s="887"/>
      <c r="G6" s="887"/>
      <c r="H6" s="792" t="s">
        <v>32</v>
      </c>
      <c r="I6" s="318">
        <v>0.4</v>
      </c>
      <c r="J6" s="318">
        <v>0.6</v>
      </c>
      <c r="K6" s="318">
        <v>0.4</v>
      </c>
      <c r="L6" s="318">
        <v>0.6</v>
      </c>
      <c r="M6" s="318">
        <v>0.4</v>
      </c>
      <c r="N6" s="318">
        <v>0.6</v>
      </c>
      <c r="O6" s="318">
        <v>1.9</v>
      </c>
      <c r="P6" s="318">
        <v>1.9</v>
      </c>
      <c r="Q6" s="318">
        <v>0.6</v>
      </c>
      <c r="R6" s="318">
        <v>0.6</v>
      </c>
      <c r="S6" s="318">
        <v>0.6</v>
      </c>
      <c r="T6" s="318">
        <v>0.6</v>
      </c>
      <c r="U6" s="318">
        <v>0.6</v>
      </c>
      <c r="V6" s="318">
        <v>0.6</v>
      </c>
      <c r="W6" s="861">
        <v>3</v>
      </c>
    </row>
    <row r="7" spans="1:23">
      <c r="B7" s="7" t="s">
        <v>33</v>
      </c>
      <c r="C7" s="73"/>
      <c r="D7" s="10" t="s">
        <v>9</v>
      </c>
      <c r="E7" s="887"/>
      <c r="F7" s="887"/>
      <c r="G7" s="887"/>
      <c r="H7" s="792" t="s">
        <v>34</v>
      </c>
      <c r="I7" s="318">
        <v>0.4</v>
      </c>
      <c r="J7" s="318">
        <v>0.6</v>
      </c>
      <c r="K7" s="318">
        <v>0.4</v>
      </c>
      <c r="L7" s="318">
        <v>0.6</v>
      </c>
      <c r="M7" s="318">
        <v>0.4</v>
      </c>
      <c r="N7" s="318">
        <v>0.6</v>
      </c>
      <c r="O7" s="318">
        <v>1.9</v>
      </c>
      <c r="P7" s="318">
        <v>1.9</v>
      </c>
      <c r="Q7" s="318">
        <v>0.6</v>
      </c>
      <c r="R7" s="318">
        <v>0.6</v>
      </c>
      <c r="S7" s="318">
        <v>0.6</v>
      </c>
      <c r="T7" s="318">
        <v>0.6</v>
      </c>
      <c r="U7" s="318">
        <v>0.6</v>
      </c>
      <c r="V7" s="318">
        <v>0.6</v>
      </c>
      <c r="W7" s="861">
        <v>3</v>
      </c>
    </row>
    <row r="8" spans="1:23">
      <c r="B8" s="7" t="s">
        <v>35</v>
      </c>
      <c r="C8" s="73"/>
      <c r="D8" s="10" t="s">
        <v>9</v>
      </c>
      <c r="E8" s="887"/>
      <c r="F8" s="887"/>
      <c r="G8" s="887"/>
      <c r="H8" s="792" t="s">
        <v>36</v>
      </c>
      <c r="I8" s="318">
        <v>0.3</v>
      </c>
      <c r="J8" s="318">
        <v>0.5</v>
      </c>
      <c r="K8" s="318">
        <v>0.3</v>
      </c>
      <c r="L8" s="318">
        <v>0.5</v>
      </c>
      <c r="M8" s="318">
        <v>0.3</v>
      </c>
      <c r="N8" s="318">
        <v>0.5</v>
      </c>
      <c r="O8" s="318">
        <v>1.9</v>
      </c>
      <c r="P8" s="318">
        <v>1.9</v>
      </c>
      <c r="Q8" s="318">
        <v>0.4</v>
      </c>
      <c r="R8" s="318">
        <v>0.5</v>
      </c>
      <c r="S8" s="318">
        <v>0.4</v>
      </c>
      <c r="T8" s="318">
        <v>0.5</v>
      </c>
      <c r="U8" s="318">
        <v>0.4</v>
      </c>
      <c r="V8" s="318">
        <v>0.5</v>
      </c>
      <c r="W8" s="861">
        <v>3</v>
      </c>
    </row>
    <row r="9" spans="1:23" ht="13.5" thickBot="1">
      <c r="B9" s="8" t="s">
        <v>37</v>
      </c>
      <c r="C9" s="74"/>
      <c r="D9" s="11" t="s">
        <v>9</v>
      </c>
      <c r="E9" s="887"/>
      <c r="F9" s="887"/>
      <c r="G9" s="887"/>
      <c r="H9" s="792" t="s">
        <v>38</v>
      </c>
      <c r="I9" s="318">
        <v>0.3</v>
      </c>
      <c r="J9" s="318">
        <v>0.5</v>
      </c>
      <c r="K9" s="318">
        <v>0.3</v>
      </c>
      <c r="L9" s="318">
        <v>0.5</v>
      </c>
      <c r="M9" s="318">
        <v>0.3</v>
      </c>
      <c r="N9" s="318">
        <v>0.5</v>
      </c>
      <c r="O9" s="318">
        <v>1.9</v>
      </c>
      <c r="P9" s="318">
        <v>1.9</v>
      </c>
      <c r="Q9" s="318">
        <v>0.4</v>
      </c>
      <c r="R9" s="318">
        <v>0.5</v>
      </c>
      <c r="S9" s="318">
        <v>0.4</v>
      </c>
      <c r="T9" s="318">
        <v>0.5</v>
      </c>
      <c r="U9" s="318">
        <v>0.4</v>
      </c>
      <c r="V9" s="318">
        <v>0.5</v>
      </c>
      <c r="W9" s="861">
        <v>3</v>
      </c>
    </row>
    <row r="10" spans="1:23">
      <c r="B10" s="5" t="s">
        <v>39</v>
      </c>
      <c r="C10" s="72"/>
      <c r="D10" s="6" t="s">
        <v>9</v>
      </c>
      <c r="E10" s="887"/>
      <c r="F10" s="887"/>
      <c r="G10" s="887"/>
      <c r="H10" s="792" t="s">
        <v>40</v>
      </c>
      <c r="I10" s="318">
        <v>0.25</v>
      </c>
      <c r="J10" s="318">
        <v>0.25</v>
      </c>
      <c r="K10" s="318">
        <v>0.25</v>
      </c>
      <c r="L10" s="318">
        <v>0.25</v>
      </c>
      <c r="M10" s="318">
        <v>0.25</v>
      </c>
      <c r="N10" s="318">
        <v>0.25</v>
      </c>
      <c r="O10" s="318">
        <v>1.9</v>
      </c>
      <c r="P10" s="318">
        <v>1.9</v>
      </c>
      <c r="Q10" s="318">
        <v>0.4</v>
      </c>
      <c r="R10" s="318">
        <v>0.4</v>
      </c>
      <c r="S10" s="318">
        <v>0.4</v>
      </c>
      <c r="T10" s="318">
        <v>0.4</v>
      </c>
      <c r="U10" s="318">
        <v>0.4</v>
      </c>
      <c r="V10" s="318">
        <v>0.4</v>
      </c>
      <c r="W10" s="861">
        <v>3</v>
      </c>
    </row>
    <row r="11" spans="1:23">
      <c r="B11" s="7" t="s">
        <v>41</v>
      </c>
      <c r="C11" s="73"/>
      <c r="D11" s="10" t="s">
        <v>9</v>
      </c>
      <c r="E11" s="887"/>
      <c r="F11" s="887"/>
      <c r="G11" s="887"/>
      <c r="H11" s="792" t="s">
        <v>42</v>
      </c>
      <c r="I11" s="318">
        <v>0.25</v>
      </c>
      <c r="J11" s="318">
        <v>0.25</v>
      </c>
      <c r="K11" s="318">
        <v>0.25</v>
      </c>
      <c r="L11" s="318">
        <v>0.25</v>
      </c>
      <c r="M11" s="318">
        <v>0.25</v>
      </c>
      <c r="N11" s="318">
        <v>0.25</v>
      </c>
      <c r="O11" s="318">
        <v>1.9</v>
      </c>
      <c r="P11" s="318">
        <v>1.9</v>
      </c>
      <c r="Q11" s="318">
        <v>0.3</v>
      </c>
      <c r="R11" s="318">
        <v>0.3</v>
      </c>
      <c r="S11" s="318">
        <v>0.3</v>
      </c>
      <c r="T11" s="318">
        <v>0.3</v>
      </c>
      <c r="U11" s="318">
        <v>0.3</v>
      </c>
      <c r="V11" s="318">
        <v>0.3</v>
      </c>
      <c r="W11" s="861">
        <v>3</v>
      </c>
    </row>
    <row r="12" spans="1:23" ht="13.5" thickBot="1">
      <c r="B12" s="8" t="s">
        <v>43</v>
      </c>
      <c r="C12" s="74"/>
      <c r="D12" s="11" t="s">
        <v>9</v>
      </c>
      <c r="E12" s="887"/>
      <c r="F12" s="887"/>
      <c r="G12" s="887"/>
      <c r="H12" s="792" t="s">
        <v>44</v>
      </c>
      <c r="I12" s="318">
        <v>0.25</v>
      </c>
      <c r="J12" s="318">
        <v>0.25</v>
      </c>
      <c r="K12" s="318">
        <v>0.25</v>
      </c>
      <c r="L12" s="318">
        <v>0.25</v>
      </c>
      <c r="M12" s="318">
        <v>0.25</v>
      </c>
      <c r="N12" s="318">
        <v>0.25</v>
      </c>
      <c r="O12" s="318">
        <v>1.9</v>
      </c>
      <c r="P12" s="318">
        <v>1.9</v>
      </c>
      <c r="Q12" s="318">
        <v>0.3</v>
      </c>
      <c r="R12" s="318">
        <v>0.3</v>
      </c>
      <c r="S12" s="318">
        <v>0.3</v>
      </c>
      <c r="T12" s="318">
        <v>0.3</v>
      </c>
      <c r="U12" s="318">
        <v>0.3</v>
      </c>
      <c r="V12" s="318">
        <v>0.3</v>
      </c>
      <c r="W12" s="861">
        <v>3</v>
      </c>
    </row>
    <row r="13" spans="1:23">
      <c r="B13" s="5" t="s">
        <v>45</v>
      </c>
      <c r="C13" s="72"/>
      <c r="D13" s="6" t="s">
        <v>9</v>
      </c>
      <c r="E13" s="887"/>
      <c r="F13" s="887"/>
      <c r="G13" s="887"/>
      <c r="H13" s="792" t="s">
        <v>46</v>
      </c>
      <c r="I13" s="863">
        <v>0.18</v>
      </c>
      <c r="J13" s="863">
        <v>0.18</v>
      </c>
      <c r="K13" s="863">
        <v>0.18</v>
      </c>
      <c r="L13" s="863">
        <v>0.18</v>
      </c>
      <c r="M13" s="863">
        <v>0.18</v>
      </c>
      <c r="N13" s="863">
        <v>0.18</v>
      </c>
      <c r="O13" s="863">
        <v>1.9</v>
      </c>
      <c r="P13" s="863">
        <v>1.9</v>
      </c>
      <c r="Q13" s="863">
        <v>0.3</v>
      </c>
      <c r="R13" s="863">
        <v>0.3</v>
      </c>
      <c r="S13" s="863">
        <v>0.3</v>
      </c>
      <c r="T13" s="863">
        <v>0.3</v>
      </c>
      <c r="U13" s="863">
        <v>0.3</v>
      </c>
      <c r="V13" s="863">
        <v>0.3</v>
      </c>
      <c r="W13" s="861">
        <v>3</v>
      </c>
    </row>
    <row r="14" spans="1:23">
      <c r="B14" s="7" t="s">
        <v>47</v>
      </c>
      <c r="C14" s="73"/>
      <c r="D14" s="10" t="s">
        <v>9</v>
      </c>
      <c r="E14" s="887"/>
      <c r="F14" s="887"/>
      <c r="G14" s="887"/>
      <c r="H14" s="792" t="s">
        <v>48</v>
      </c>
      <c r="I14" s="863">
        <v>0.18</v>
      </c>
      <c r="J14" s="863">
        <v>0.18</v>
      </c>
      <c r="K14" s="863">
        <v>0.18</v>
      </c>
      <c r="L14" s="863">
        <v>0.18</v>
      </c>
      <c r="M14" s="863">
        <v>0.18</v>
      </c>
      <c r="N14" s="863">
        <v>0.18</v>
      </c>
      <c r="O14" s="863">
        <v>1.9</v>
      </c>
      <c r="P14" s="863">
        <v>1.9</v>
      </c>
      <c r="Q14" s="863">
        <v>0.3</v>
      </c>
      <c r="R14" s="863">
        <v>0.3</v>
      </c>
      <c r="S14" s="863">
        <v>0.3</v>
      </c>
      <c r="T14" s="863">
        <v>0.3</v>
      </c>
      <c r="U14" s="863">
        <v>0.3</v>
      </c>
      <c r="V14" s="863">
        <v>0.3</v>
      </c>
      <c r="W14" s="861">
        <v>3</v>
      </c>
    </row>
    <row r="15" spans="1:23" ht="13.5" thickBot="1">
      <c r="B15" s="8" t="s">
        <v>49</v>
      </c>
      <c r="C15" s="74"/>
      <c r="D15" s="11" t="s">
        <v>9</v>
      </c>
      <c r="E15" s="887"/>
      <c r="F15" s="887"/>
      <c r="G15" s="887"/>
      <c r="I15" s="887"/>
      <c r="J15" s="887"/>
      <c r="K15" s="887"/>
      <c r="L15" s="887"/>
      <c r="M15" s="887"/>
    </row>
    <row r="16" spans="1:23">
      <c r="B16" s="5" t="s">
        <v>50</v>
      </c>
      <c r="C16" s="72"/>
      <c r="D16" s="6" t="s">
        <v>9</v>
      </c>
      <c r="E16" s="887"/>
      <c r="F16" s="887"/>
      <c r="G16" s="887"/>
      <c r="H16" s="1065" t="s">
        <v>51</v>
      </c>
      <c r="I16" s="1065"/>
      <c r="J16" s="1065"/>
      <c r="K16" s="1065"/>
      <c r="L16" s="1065"/>
      <c r="M16" s="1065"/>
      <c r="N16" s="1065"/>
      <c r="O16" s="1065"/>
      <c r="P16" s="1065"/>
      <c r="Q16" s="1065"/>
      <c r="R16" s="1065"/>
      <c r="S16" s="1065"/>
      <c r="T16" s="1065"/>
      <c r="U16" s="1065"/>
      <c r="V16" s="1065"/>
      <c r="W16" s="1065"/>
    </row>
    <row r="17" spans="2:25">
      <c r="B17" s="7" t="s">
        <v>52</v>
      </c>
      <c r="C17" s="73"/>
      <c r="D17" s="10" t="s">
        <v>9</v>
      </c>
      <c r="E17" s="887"/>
      <c r="F17" s="887"/>
      <c r="G17" s="887"/>
      <c r="H17" s="890" t="s">
        <v>53</v>
      </c>
      <c r="I17" s="891">
        <v>0.09</v>
      </c>
      <c r="J17" s="891">
        <v>0.09</v>
      </c>
      <c r="K17" s="891">
        <v>0.12</v>
      </c>
      <c r="L17" s="891">
        <v>0.12</v>
      </c>
      <c r="M17" s="891">
        <v>0.17</v>
      </c>
      <c r="N17" s="892">
        <v>0.17</v>
      </c>
      <c r="O17" s="892">
        <v>0.12</v>
      </c>
      <c r="P17" s="892">
        <v>0.12</v>
      </c>
      <c r="Q17" s="318">
        <v>0.12</v>
      </c>
      <c r="R17" s="318">
        <v>0.12</v>
      </c>
      <c r="S17" s="318">
        <v>0.1</v>
      </c>
      <c r="T17" s="318">
        <v>0.1</v>
      </c>
      <c r="U17" s="318">
        <v>0.17</v>
      </c>
      <c r="V17" s="318">
        <v>0.17</v>
      </c>
      <c r="W17" s="318">
        <v>0.12</v>
      </c>
    </row>
    <row r="18" spans="2:25" ht="13.5" thickBot="1">
      <c r="B18" s="8" t="s">
        <v>54</v>
      </c>
      <c r="C18" s="74"/>
      <c r="D18" s="11" t="s">
        <v>9</v>
      </c>
      <c r="E18" s="887"/>
      <c r="F18" s="887"/>
      <c r="G18" s="887"/>
      <c r="H18" s="890" t="s">
        <v>55</v>
      </c>
      <c r="I18" s="891">
        <v>0.05</v>
      </c>
      <c r="J18" s="891">
        <v>0.05</v>
      </c>
      <c r="K18" s="891">
        <v>0.05</v>
      </c>
      <c r="L18" s="891">
        <v>0.05</v>
      </c>
      <c r="M18" s="891">
        <v>0.05</v>
      </c>
      <c r="N18" s="892">
        <v>0.05</v>
      </c>
      <c r="O18" s="892">
        <v>0.05</v>
      </c>
      <c r="P18" s="892">
        <v>0.05</v>
      </c>
      <c r="Q18" s="318">
        <v>0.12</v>
      </c>
      <c r="R18" s="318">
        <v>0.12</v>
      </c>
      <c r="S18" s="318">
        <v>0.1</v>
      </c>
      <c r="T18" s="318">
        <v>0.1</v>
      </c>
      <c r="U18" s="318">
        <v>0.17</v>
      </c>
      <c r="V18" s="318">
        <v>0.17</v>
      </c>
      <c r="W18" s="318">
        <v>0.12</v>
      </c>
    </row>
    <row r="19" spans="2:25">
      <c r="B19" s="5" t="s">
        <v>56</v>
      </c>
      <c r="C19" s="72"/>
      <c r="D19" s="6" t="s">
        <v>9</v>
      </c>
    </row>
    <row r="20" spans="2:25" ht="13.5" thickBot="1">
      <c r="B20" s="8" t="s">
        <v>57</v>
      </c>
      <c r="C20" s="74"/>
      <c r="D20" s="11" t="s">
        <v>9</v>
      </c>
    </row>
    <row r="24" spans="2:25" s="23" customFormat="1">
      <c r="B24" s="652" t="s">
        <v>58</v>
      </c>
      <c r="P24" s="24"/>
      <c r="Q24" s="24"/>
      <c r="R24" s="24"/>
      <c r="S24" s="24"/>
      <c r="T24" s="24"/>
      <c r="U24" s="24"/>
      <c r="V24" s="24"/>
    </row>
    <row r="25" spans="2:25" s="23" customFormat="1">
      <c r="B25" s="25" t="s">
        <v>59</v>
      </c>
      <c r="P25" s="24"/>
      <c r="Q25" s="24"/>
      <c r="R25" s="24"/>
      <c r="S25" s="24"/>
      <c r="T25" s="24"/>
      <c r="U25" s="24"/>
      <c r="V25" s="24"/>
    </row>
    <row r="26" spans="2:25">
      <c r="O26" s="1553"/>
      <c r="P26" s="1553"/>
      <c r="Q26" s="1553"/>
      <c r="R26" s="1553"/>
      <c r="S26" s="1553"/>
      <c r="T26" s="1553"/>
      <c r="U26" s="1553"/>
      <c r="V26" s="1553"/>
      <c r="W26" s="1553"/>
      <c r="X26" s="1553"/>
      <c r="Y26" s="1553"/>
    </row>
    <row r="27" spans="2:25" ht="12.6" customHeight="1">
      <c r="B27" s="1077" t="s">
        <v>60</v>
      </c>
      <c r="C27" s="1077"/>
      <c r="D27" s="1077"/>
      <c r="E27" s="1077"/>
      <c r="F27" s="1077"/>
      <c r="O27" s="1553"/>
    </row>
    <row r="28" spans="2:25">
      <c r="B28" s="1078" t="s">
        <v>61</v>
      </c>
      <c r="C28" s="1078"/>
      <c r="D28" s="1078"/>
      <c r="E28" s="1078"/>
      <c r="F28" s="1078"/>
      <c r="H28" s="1553"/>
      <c r="I28" s="1553"/>
      <c r="J28" s="1553"/>
      <c r="K28" s="1553"/>
      <c r="L28" s="1553"/>
      <c r="O28" s="1553"/>
    </row>
    <row r="29" spans="2:25">
      <c r="B29" s="1078" t="s">
        <v>62</v>
      </c>
      <c r="C29" s="1078"/>
      <c r="D29" s="1078"/>
      <c r="E29" s="1078"/>
      <c r="F29" s="1078"/>
      <c r="O29" s="1553"/>
    </row>
    <row r="30" spans="2:25">
      <c r="B30" s="1078" t="s">
        <v>63</v>
      </c>
      <c r="C30" s="1078"/>
      <c r="D30" s="1078"/>
      <c r="E30" s="1078"/>
      <c r="F30" s="1078"/>
      <c r="O30" s="1553"/>
    </row>
    <row r="31" spans="2:25" ht="13.5" thickBot="1">
      <c r="C31" s="9"/>
      <c r="O31" s="1553"/>
    </row>
    <row r="32" spans="2:25" ht="13.5" thickBot="1">
      <c r="B32" s="82" t="s">
        <v>64</v>
      </c>
      <c r="C32" s="884" t="s">
        <v>20</v>
      </c>
      <c r="H32" s="94" t="s">
        <v>65</v>
      </c>
      <c r="I32" s="884" t="e" cm="1">
        <f t="array" aca="1" ref="I32" ca="1">+_xlfn.XLOOKUP(C34,H6:H13,INDIRECT(_xlfn.CONCAT(SUBSTITUTE(C33," ","_"),_xlfn.SWITCH(C32,"Contra espacios no acondicionados y terreno","_int","Contra clima exterior","_ext"))))</f>
        <v>#N/A</v>
      </c>
      <c r="O32" s="1553"/>
    </row>
    <row r="33" spans="2:25" ht="13.5" thickBot="1">
      <c r="B33" s="82" t="s">
        <v>66</v>
      </c>
      <c r="C33" s="893" t="s">
        <v>30</v>
      </c>
      <c r="H33" s="94" t="s">
        <v>67</v>
      </c>
      <c r="I33" s="150" t="e" cm="1">
        <f t="array" aca="1" ref="I33" ca="1">_xlfn.IFS(F48&lt;=I32,"Cumple",F48&gt;I32,"No cumple")</f>
        <v>#N/A</v>
      </c>
      <c r="O33" s="1553"/>
    </row>
    <row r="34" spans="2:25" ht="13.5" thickBot="1">
      <c r="B34" s="82" t="s">
        <v>68</v>
      </c>
      <c r="C34" s="886" t="s">
        <v>34</v>
      </c>
      <c r="O34" s="1553"/>
    </row>
    <row r="35" spans="2:25" ht="13.5" thickBot="1">
      <c r="O35" s="1553"/>
    </row>
    <row r="36" spans="2:25" s="139" customFormat="1" ht="25.5" customHeight="1" thickBot="1">
      <c r="B36" s="94" t="s">
        <v>69</v>
      </c>
      <c r="C36" s="151" t="s">
        <v>70</v>
      </c>
      <c r="D36" s="58" t="s">
        <v>71</v>
      </c>
      <c r="E36" s="59" t="s">
        <v>72</v>
      </c>
      <c r="F36" s="57" t="s">
        <v>73</v>
      </c>
      <c r="H36" s="1059" t="s">
        <v>74</v>
      </c>
      <c r="I36" s="1059"/>
      <c r="J36" s="1059"/>
      <c r="K36" s="1059"/>
      <c r="L36" s="1059"/>
      <c r="O36" s="1553"/>
      <c r="P36" s="1"/>
      <c r="Q36" s="1"/>
      <c r="R36" s="1"/>
      <c r="S36" s="1"/>
      <c r="T36" s="1"/>
      <c r="U36" s="1"/>
      <c r="V36" s="1"/>
      <c r="W36"/>
      <c r="X36"/>
      <c r="Y36"/>
    </row>
    <row r="37" spans="2:25" ht="13.5" thickBot="1">
      <c r="B37" s="140" t="s">
        <v>75</v>
      </c>
      <c r="C37" s="141"/>
      <c r="D37" s="141"/>
      <c r="E37" s="142"/>
      <c r="F37" s="889" cm="1">
        <f t="array" ref="F37">+_xlfn.IFS(C32=I4,_xlfn.XLOOKUP(C33,Contra_clima_exterior,I17:P17),C32=Q4,_xlfn.XLOOKUP(C33,Contra_espacios_no_acondicionados_y_terreno,Q17:W17))</f>
        <v>0.12</v>
      </c>
      <c r="H37" s="1059"/>
      <c r="I37" s="1059"/>
      <c r="J37" s="1059"/>
      <c r="K37" s="1059"/>
      <c r="L37" s="1059"/>
    </row>
    <row r="38" spans="2:25">
      <c r="B38" s="86" t="s">
        <v>76</v>
      </c>
      <c r="C38" s="508">
        <v>0.2</v>
      </c>
      <c r="D38" s="509">
        <v>2400</v>
      </c>
      <c r="E38" s="510">
        <v>1.63</v>
      </c>
      <c r="F38" s="143">
        <f t="shared" ref="F38:F45" si="0">IFERROR(C38/E38,"")</f>
        <v>0.1226993865030675</v>
      </c>
      <c r="H38" s="1059"/>
      <c r="I38" s="1059"/>
      <c r="J38" s="1059"/>
      <c r="K38" s="1059"/>
      <c r="L38" s="1059"/>
    </row>
    <row r="39" spans="2:25">
      <c r="B39" s="84" t="s">
        <v>77</v>
      </c>
      <c r="C39" s="511">
        <v>0.1</v>
      </c>
      <c r="D39" s="512"/>
      <c r="E39" s="513">
        <v>0.80400000000000005</v>
      </c>
      <c r="F39" s="144">
        <f t="shared" si="0"/>
        <v>0.12437810945273632</v>
      </c>
      <c r="H39" s="1059"/>
      <c r="I39" s="1059"/>
      <c r="J39" s="1059"/>
      <c r="K39" s="1059"/>
      <c r="L39" s="1059"/>
    </row>
    <row r="40" spans="2:25">
      <c r="B40" s="84"/>
      <c r="C40" s="511"/>
      <c r="D40" s="512"/>
      <c r="E40" s="513"/>
      <c r="F40" s="144" t="str">
        <f t="shared" si="0"/>
        <v/>
      </c>
      <c r="H40" s="1059"/>
      <c r="I40" s="1059"/>
      <c r="J40" s="1059"/>
      <c r="K40" s="1059"/>
      <c r="L40" s="1059"/>
    </row>
    <row r="41" spans="2:25">
      <c r="B41" s="84"/>
      <c r="C41" s="511"/>
      <c r="D41" s="512"/>
      <c r="E41" s="513"/>
      <c r="F41" s="144" t="str">
        <f t="shared" si="0"/>
        <v/>
      </c>
      <c r="H41" s="1059"/>
      <c r="I41" s="1059"/>
      <c r="J41" s="1059"/>
      <c r="K41" s="1059"/>
      <c r="L41" s="1059"/>
    </row>
    <row r="42" spans="2:25">
      <c r="B42" s="84"/>
      <c r="C42" s="511"/>
      <c r="D42" s="512"/>
      <c r="E42" s="513"/>
      <c r="F42" s="144" t="str">
        <f t="shared" si="0"/>
        <v/>
      </c>
      <c r="H42" s="1059"/>
      <c r="I42" s="1059"/>
      <c r="J42" s="1059"/>
      <c r="K42" s="1059"/>
      <c r="L42" s="1059"/>
    </row>
    <row r="43" spans="2:25">
      <c r="B43" s="84"/>
      <c r="C43" s="511"/>
      <c r="D43" s="512"/>
      <c r="E43" s="513"/>
      <c r="F43" s="144" t="str">
        <f t="shared" si="0"/>
        <v/>
      </c>
      <c r="H43" s="1059"/>
      <c r="I43" s="1059"/>
      <c r="J43" s="1059"/>
      <c r="K43" s="1059"/>
      <c r="L43" s="1059"/>
    </row>
    <row r="44" spans="2:25">
      <c r="B44" s="84"/>
      <c r="C44" s="511"/>
      <c r="D44" s="512"/>
      <c r="E44" s="513"/>
      <c r="F44" s="144" t="str">
        <f t="shared" si="0"/>
        <v/>
      </c>
      <c r="H44" s="1059"/>
      <c r="I44" s="1059"/>
      <c r="J44" s="1059"/>
      <c r="K44" s="1059"/>
      <c r="L44" s="1059"/>
    </row>
    <row r="45" spans="2:25" ht="13.5" thickBot="1">
      <c r="B45" s="85"/>
      <c r="C45" s="514"/>
      <c r="D45" s="515"/>
      <c r="E45" s="516"/>
      <c r="F45" s="145" t="str">
        <f t="shared" si="0"/>
        <v/>
      </c>
    </row>
    <row r="46" spans="2:25" ht="13.5" thickBot="1">
      <c r="B46" s="140" t="s">
        <v>78</v>
      </c>
      <c r="C46" s="141"/>
      <c r="D46" s="141"/>
      <c r="E46" s="142"/>
      <c r="F46" s="889" cm="1">
        <f t="array" ref="F46">+_xlfn.IFS(C32=I4,_xlfn.XLOOKUP(C33,Contra_clima_exterior,I18:P18),C32=Q4,_xlfn.XLOOKUP(C33,Contra_espacios_no_acondicionados_y_terreno,Q18:W18))</f>
        <v>0.05</v>
      </c>
    </row>
    <row r="47" spans="2:25">
      <c r="B47" s="1554" t="s">
        <v>79</v>
      </c>
      <c r="C47" s="1555"/>
      <c r="D47" s="1555"/>
      <c r="E47" s="1556"/>
      <c r="F47" s="146">
        <f>SUM(F37:F46)</f>
        <v>0.41707749595580379</v>
      </c>
    </row>
    <row r="48" spans="2:25" ht="13.5" thickBot="1">
      <c r="B48" s="1557" t="s">
        <v>80</v>
      </c>
      <c r="C48" s="1558"/>
      <c r="D48" s="1558"/>
      <c r="E48" s="1559"/>
      <c r="F48" s="147">
        <f>1/F47</f>
        <v>2.397635954220763</v>
      </c>
    </row>
    <row r="50" spans="2:22" s="23" customFormat="1">
      <c r="B50" s="25" t="s">
        <v>81</v>
      </c>
      <c r="P50" s="24"/>
      <c r="Q50" s="24"/>
      <c r="R50" s="24"/>
      <c r="S50" s="24"/>
      <c r="T50" s="24"/>
      <c r="U50" s="24"/>
      <c r="V50" s="24"/>
    </row>
    <row r="52" spans="2:22" ht="12.6" customHeight="1">
      <c r="B52" s="1077" t="s">
        <v>82</v>
      </c>
      <c r="C52" s="1077"/>
      <c r="D52" s="1077"/>
      <c r="E52" s="1077"/>
      <c r="F52" s="1077"/>
    </row>
    <row r="53" spans="2:22" ht="12.6" customHeight="1">
      <c r="B53" s="1078" t="s">
        <v>83</v>
      </c>
      <c r="C53" s="1078"/>
      <c r="D53" s="1078"/>
      <c r="E53" s="1078"/>
      <c r="F53" s="1078"/>
      <c r="H53" s="1553"/>
      <c r="I53" s="1553"/>
      <c r="J53" s="1553"/>
      <c r="K53" s="1553"/>
      <c r="L53" s="1553"/>
    </row>
    <row r="54" spans="2:22" ht="12.6" customHeight="1">
      <c r="B54" s="1078" t="s">
        <v>84</v>
      </c>
      <c r="C54" s="1078"/>
      <c r="D54" s="1078"/>
      <c r="E54" s="1078"/>
      <c r="F54" s="1078"/>
    </row>
    <row r="55" spans="2:22" ht="12.6" customHeight="1">
      <c r="B55" s="1078" t="s">
        <v>85</v>
      </c>
      <c r="C55" s="1078"/>
      <c r="D55" s="1078"/>
      <c r="E55" s="1078"/>
      <c r="F55" s="1078"/>
    </row>
    <row r="56" spans="2:22" ht="13.5" thickBot="1"/>
    <row r="57" spans="2:22" ht="13.5" customHeight="1" thickBot="1">
      <c r="B57" s="1068" t="s">
        <v>86</v>
      </c>
      <c r="C57" s="1069"/>
      <c r="D57" s="1069"/>
      <c r="E57" s="1069"/>
      <c r="F57" s="1070"/>
      <c r="H57" s="1076" t="s">
        <v>74</v>
      </c>
      <c r="I57" s="1076"/>
      <c r="J57" s="1076"/>
      <c r="K57" s="1076"/>
      <c r="L57" s="1076"/>
    </row>
    <row r="58" spans="2:22" s="139" customFormat="1" ht="26.25" thickBot="1">
      <c r="B58" s="94" t="s">
        <v>69</v>
      </c>
      <c r="C58" s="151" t="s">
        <v>70</v>
      </c>
      <c r="D58" s="58" t="s">
        <v>71</v>
      </c>
      <c r="E58" s="59" t="s">
        <v>72</v>
      </c>
      <c r="F58" s="57" t="s">
        <v>73</v>
      </c>
      <c r="H58" s="1076"/>
      <c r="I58" s="1076"/>
      <c r="J58" s="1076"/>
      <c r="K58" s="1076"/>
      <c r="L58" s="1076"/>
    </row>
    <row r="59" spans="2:22" ht="13.5" thickBot="1">
      <c r="B59" s="140" t="s">
        <v>75</v>
      </c>
      <c r="C59" s="141"/>
      <c r="D59" s="141"/>
      <c r="E59" s="142"/>
      <c r="F59" s="507"/>
      <c r="H59" s="1076"/>
      <c r="I59" s="1076"/>
      <c r="J59" s="1076"/>
      <c r="K59" s="1076"/>
      <c r="L59" s="1076"/>
    </row>
    <row r="60" spans="2:22">
      <c r="B60" s="86"/>
      <c r="C60" s="508"/>
      <c r="D60" s="509"/>
      <c r="E60" s="510"/>
      <c r="F60" s="144" t="str">
        <f t="shared" ref="F60:F67" si="1">IFERROR(C60/E60,"")</f>
        <v/>
      </c>
      <c r="H60" s="1076"/>
      <c r="I60" s="1076"/>
      <c r="J60" s="1076"/>
      <c r="K60" s="1076"/>
      <c r="L60" s="1076"/>
    </row>
    <row r="61" spans="2:22">
      <c r="B61" s="84"/>
      <c r="C61" s="511"/>
      <c r="D61" s="512"/>
      <c r="E61" s="513"/>
      <c r="F61" s="144" t="str">
        <f t="shared" si="1"/>
        <v/>
      </c>
      <c r="H61" s="1076"/>
      <c r="I61" s="1076"/>
      <c r="J61" s="1076"/>
      <c r="K61" s="1076"/>
      <c r="L61" s="1076"/>
    </row>
    <row r="62" spans="2:22">
      <c r="B62" s="84"/>
      <c r="C62" s="511"/>
      <c r="D62" s="512"/>
      <c r="E62" s="513"/>
      <c r="F62" s="144" t="str">
        <f t="shared" si="1"/>
        <v/>
      </c>
      <c r="H62" s="1076"/>
      <c r="I62" s="1076"/>
      <c r="J62" s="1076"/>
      <c r="K62" s="1076"/>
      <c r="L62" s="1076"/>
    </row>
    <row r="63" spans="2:22">
      <c r="B63" s="84"/>
      <c r="C63" s="511"/>
      <c r="D63" s="512"/>
      <c r="E63" s="513"/>
      <c r="F63" s="144" t="str">
        <f t="shared" si="1"/>
        <v/>
      </c>
      <c r="H63" s="1076"/>
      <c r="I63" s="1076"/>
      <c r="J63" s="1076"/>
      <c r="K63" s="1076"/>
      <c r="L63" s="1076"/>
    </row>
    <row r="64" spans="2:22">
      <c r="B64" s="84"/>
      <c r="C64" s="511"/>
      <c r="D64" s="512"/>
      <c r="E64" s="513"/>
      <c r="F64" s="144" t="str">
        <f t="shared" si="1"/>
        <v/>
      </c>
      <c r="H64" s="1076"/>
      <c r="I64" s="1076"/>
      <c r="J64" s="1076"/>
      <c r="K64" s="1076"/>
      <c r="L64" s="1076"/>
    </row>
    <row r="65" spans="2:12">
      <c r="B65" s="84"/>
      <c r="C65" s="511"/>
      <c r="D65" s="512"/>
      <c r="E65" s="513"/>
      <c r="F65" s="144" t="str">
        <f t="shared" si="1"/>
        <v/>
      </c>
      <c r="H65" s="1076"/>
      <c r="I65" s="1076"/>
      <c r="J65" s="1076"/>
      <c r="K65" s="1076"/>
      <c r="L65" s="1076"/>
    </row>
    <row r="66" spans="2:12">
      <c r="B66" s="84"/>
      <c r="C66" s="511"/>
      <c r="D66" s="512"/>
      <c r="E66" s="513"/>
      <c r="F66" s="144" t="str">
        <f t="shared" si="1"/>
        <v/>
      </c>
    </row>
    <row r="67" spans="2:12" ht="13.5" thickBot="1">
      <c r="B67" s="85"/>
      <c r="C67" s="514"/>
      <c r="D67" s="515"/>
      <c r="E67" s="516"/>
      <c r="F67" s="145" t="str">
        <f t="shared" si="1"/>
        <v/>
      </c>
    </row>
    <row r="68" spans="2:12" ht="13.5" thickBot="1">
      <c r="B68" s="140" t="s">
        <v>78</v>
      </c>
      <c r="C68" s="141"/>
      <c r="D68" s="141"/>
      <c r="E68" s="142"/>
      <c r="F68" s="517"/>
    </row>
    <row r="69" spans="2:12">
      <c r="B69" s="1554" t="s">
        <v>79</v>
      </c>
      <c r="C69" s="1555"/>
      <c r="D69" s="1555"/>
      <c r="E69" s="1556"/>
      <c r="F69" s="146">
        <f>SUM(F59:F68)</f>
        <v>0</v>
      </c>
    </row>
    <row r="70" spans="2:12" ht="13.5" thickBot="1">
      <c r="B70" s="1560" t="s">
        <v>87</v>
      </c>
      <c r="C70" s="1561"/>
      <c r="D70" s="1561"/>
      <c r="E70" s="1562"/>
      <c r="F70" s="150" t="e">
        <f>1/F69</f>
        <v>#DIV/0!</v>
      </c>
    </row>
    <row r="71" spans="2:12" ht="13.5" thickBot="1"/>
    <row r="72" spans="2:12" ht="13.5" thickBot="1">
      <c r="B72" s="1068" t="s">
        <v>88</v>
      </c>
      <c r="C72" s="1069"/>
      <c r="D72" s="1069"/>
      <c r="E72" s="1069"/>
      <c r="F72" s="1070"/>
    </row>
    <row r="73" spans="2:12" s="139" customFormat="1" ht="26.25" thickBot="1">
      <c r="B73" s="94" t="s">
        <v>69</v>
      </c>
      <c r="C73" s="151" t="s">
        <v>70</v>
      </c>
      <c r="D73" s="58" t="s">
        <v>71</v>
      </c>
      <c r="E73" s="59" t="s">
        <v>72</v>
      </c>
      <c r="F73" s="57" t="s">
        <v>73</v>
      </c>
    </row>
    <row r="74" spans="2:12" ht="13.5" thickBot="1">
      <c r="B74" s="140" t="s">
        <v>75</v>
      </c>
      <c r="C74" s="141"/>
      <c r="D74" s="141"/>
      <c r="E74" s="142"/>
      <c r="F74" s="507"/>
    </row>
    <row r="75" spans="2:12">
      <c r="B75" s="86"/>
      <c r="C75" s="508"/>
      <c r="D75" s="509"/>
      <c r="E75" s="510"/>
      <c r="F75" s="143">
        <v>3.2051282051282053</v>
      </c>
    </row>
    <row r="76" spans="2:12">
      <c r="B76" s="84"/>
      <c r="C76" s="511"/>
      <c r="D76" s="512"/>
      <c r="E76" s="513"/>
      <c r="F76" s="144">
        <v>1.0416666666666667</v>
      </c>
    </row>
    <row r="77" spans="2:12">
      <c r="B77" s="84"/>
      <c r="C77" s="511"/>
      <c r="D77" s="512"/>
      <c r="E77" s="513"/>
      <c r="F77" s="144">
        <v>4.1666666666666671E-2</v>
      </c>
    </row>
    <row r="78" spans="2:12">
      <c r="B78" s="84"/>
      <c r="C78" s="511"/>
      <c r="D78" s="512"/>
      <c r="E78" s="513"/>
      <c r="F78" s="144">
        <v>4.1666666666666671E-2</v>
      </c>
    </row>
    <row r="79" spans="2:12">
      <c r="B79" s="84"/>
      <c r="C79" s="511"/>
      <c r="D79" s="512"/>
      <c r="E79" s="513"/>
      <c r="F79" s="144">
        <v>4.1666666666666671E-2</v>
      </c>
    </row>
    <row r="80" spans="2:12">
      <c r="B80" s="84"/>
      <c r="C80" s="511"/>
      <c r="D80" s="512"/>
      <c r="E80" s="513"/>
      <c r="F80" s="144" t="str">
        <f>IFERROR(C80/E80,"")</f>
        <v/>
      </c>
    </row>
    <row r="81" spans="2:8">
      <c r="B81" s="84"/>
      <c r="C81" s="511"/>
      <c r="D81" s="512"/>
      <c r="E81" s="513"/>
      <c r="F81" s="144" t="str">
        <f>IFERROR(C81/E81,"")</f>
        <v/>
      </c>
    </row>
    <row r="82" spans="2:8" ht="13.5" thickBot="1">
      <c r="B82" s="85"/>
      <c r="C82" s="514"/>
      <c r="D82" s="515"/>
      <c r="E82" s="516"/>
      <c r="F82" s="145" t="str">
        <f>IFERROR(C82/E82,"")</f>
        <v/>
      </c>
    </row>
    <row r="83" spans="2:8" ht="13.5" thickBot="1">
      <c r="B83" s="140" t="s">
        <v>78</v>
      </c>
      <c r="C83" s="141"/>
      <c r="D83" s="141"/>
      <c r="E83" s="142"/>
      <c r="F83" s="517"/>
    </row>
    <row r="84" spans="2:8">
      <c r="B84" s="1554" t="s">
        <v>79</v>
      </c>
      <c r="C84" s="1555"/>
      <c r="D84" s="1555"/>
      <c r="E84" s="1556"/>
      <c r="F84" s="146">
        <f>SUM(F74:F83)</f>
        <v>4.3717948717948731</v>
      </c>
    </row>
    <row r="85" spans="2:8" ht="13.5" thickBot="1">
      <c r="B85" s="1560" t="s">
        <v>89</v>
      </c>
      <c r="C85" s="1561"/>
      <c r="D85" s="1561"/>
      <c r="E85" s="1562"/>
      <c r="F85" s="150">
        <f>1/F84</f>
        <v>0.22873900293255126</v>
      </c>
    </row>
    <row r="86" spans="2:8" ht="13.5" thickBot="1"/>
    <row r="87" spans="2:8" ht="13.5" thickBot="1">
      <c r="B87" s="1074" t="s">
        <v>90</v>
      </c>
      <c r="C87" s="1074"/>
      <c r="D87" s="1074"/>
      <c r="E87" s="1074"/>
      <c r="F87" s="1074"/>
    </row>
    <row r="88" spans="2:8" s="139" customFormat="1" ht="26.85" customHeight="1" thickBot="1">
      <c r="B88" s="94" t="s">
        <v>91</v>
      </c>
      <c r="C88" s="1075" t="s">
        <v>92</v>
      </c>
      <c r="D88" s="1075"/>
      <c r="E88" s="1075" t="s">
        <v>93</v>
      </c>
      <c r="F88" s="1075"/>
    </row>
    <row r="89" spans="2:8">
      <c r="B89" s="92" t="s">
        <v>94</v>
      </c>
      <c r="C89" s="1066"/>
      <c r="D89" s="1066"/>
      <c r="E89" s="1067" t="e">
        <f>F70*C89</f>
        <v>#DIV/0!</v>
      </c>
      <c r="F89" s="1067"/>
    </row>
    <row r="90" spans="2:8" ht="13.5" thickBot="1">
      <c r="B90" s="91" t="s">
        <v>95</v>
      </c>
      <c r="C90" s="1060">
        <f>1-C89</f>
        <v>1</v>
      </c>
      <c r="D90" s="1060"/>
      <c r="E90" s="1061">
        <f>F85*C90</f>
        <v>0.22873900293255126</v>
      </c>
      <c r="F90" s="1061"/>
    </row>
    <row r="91" spans="2:8" ht="13.5" thickBot="1">
      <c r="B91" s="1062" t="s">
        <v>96</v>
      </c>
      <c r="C91" s="1062"/>
      <c r="D91" s="1062"/>
      <c r="E91" s="858" t="e">
        <f>SUM(E89:F90)</f>
        <v>#DIV/0!</v>
      </c>
      <c r="F91" s="859"/>
    </row>
    <row r="92" spans="2:8" ht="58.5" customHeight="1" thickBot="1">
      <c r="B92" s="856" t="s">
        <v>97</v>
      </c>
      <c r="C92" s="865" t="s">
        <v>34</v>
      </c>
      <c r="D92" s="870" t="s">
        <v>98</v>
      </c>
      <c r="E92" s="865" t="s">
        <v>99</v>
      </c>
      <c r="F92" s="147" t="e" cm="1">
        <f t="array" ref="F92">_xlfn.IFS(E91&lt;=H92,"Cumple",E91&gt;H92,"No cumple")</f>
        <v>#DIV/0!</v>
      </c>
      <c r="G92" s="14"/>
      <c r="H92" s="857" t="e" cm="1">
        <f t="array" ref="H92">_xlfn.IFS(C92=$F$6,IF(D92=#REF!,HLOOKUP(E92,$H$14:$J$14,2,0),HLOOKUP(E92,$K$14:$M$14,2,0)),C92=$F$7,IF(D92=#REF!,HLOOKUP(E92,$H$14:$J$14,3,0),HLOOKUP(E92,$K$14:$M$14,3,0)),C92=$F$8,IF(D92=#REF!,HLOOKUP(E92,$H$14:$J$14,4,0),HLOOKUP(E92,$K$14:$M$14,4,0)),C92=$F$9,IF(D92=#REF!,HLOOKUP(E92,$H$14:$J$14,5,0),HLOOKUP(E92,$K$14:$M$14,5,0)),C92=$F$10,IF(D92=#REF!,HLOOKUP(E92,$H$14:$J$14,6,0),HLOOKUP(E92,$K$14:$M$14,6,0)),C92=$F$11,IF(D92=#REF!,HLOOKUP(E92,$H$14:$J$14,7,0),HLOOKUP(E92,$K$14:$M$14,7,0)),C92=$F$12,IF(D92=#REF!,HLOOKUP(E92,$H$14:$J$14,8,0),HLOOKUP(E92,$K$14:$M$14,8,0)),C92=$F$13,IF(D92=#REF!,HLOOKUP(E92,$H$14:$J$14,9,0),HLOOKUP(E92,$K$14:$M$14,9,0)),C92=$F$14,IF(D92=#REF!,HLOOKUP(E92,$H$14:$J$14,10,0),HLOOKUP(E92,$K$14:$M$14,10,0)))</f>
        <v>#N/A</v>
      </c>
    </row>
    <row r="93" spans="2:8" ht="13.5" thickBot="1"/>
    <row r="94" spans="2:8" ht="13.5" thickBot="1">
      <c r="B94" s="1068" t="s">
        <v>86</v>
      </c>
      <c r="C94" s="1069"/>
      <c r="D94" s="1069"/>
      <c r="E94" s="1069"/>
      <c r="F94" s="1070"/>
    </row>
    <row r="95" spans="2:8" ht="26.25" thickBot="1">
      <c r="B95" s="94" t="s">
        <v>69</v>
      </c>
      <c r="C95" s="151" t="s">
        <v>70</v>
      </c>
      <c r="D95" s="58" t="s">
        <v>71</v>
      </c>
      <c r="E95" s="59" t="s">
        <v>72</v>
      </c>
      <c r="F95" s="57" t="s">
        <v>73</v>
      </c>
    </row>
    <row r="96" spans="2:8" ht="13.5" thickBot="1">
      <c r="B96" s="140" t="s">
        <v>75</v>
      </c>
      <c r="C96" s="141"/>
      <c r="D96" s="141"/>
      <c r="E96" s="142"/>
      <c r="F96" s="507"/>
    </row>
    <row r="97" spans="2:6">
      <c r="B97" s="86"/>
      <c r="C97" s="508"/>
      <c r="D97" s="509"/>
      <c r="E97" s="510"/>
      <c r="F97" s="144" t="str">
        <f t="shared" ref="F97:F104" si="2">IFERROR(C97/E97,"")</f>
        <v/>
      </c>
    </row>
    <row r="98" spans="2:6">
      <c r="B98" s="84"/>
      <c r="C98" s="511"/>
      <c r="D98" s="512"/>
      <c r="E98" s="513"/>
      <c r="F98" s="144" t="str">
        <f t="shared" si="2"/>
        <v/>
      </c>
    </row>
    <row r="99" spans="2:6">
      <c r="B99" s="84"/>
      <c r="C99" s="511"/>
      <c r="D99" s="512"/>
      <c r="E99" s="513"/>
      <c r="F99" s="144" t="str">
        <f t="shared" si="2"/>
        <v/>
      </c>
    </row>
    <row r="100" spans="2:6">
      <c r="B100" s="84"/>
      <c r="C100" s="511"/>
      <c r="D100" s="512"/>
      <c r="E100" s="513"/>
      <c r="F100" s="144" t="str">
        <f t="shared" si="2"/>
        <v/>
      </c>
    </row>
    <row r="101" spans="2:6">
      <c r="B101" s="84"/>
      <c r="C101" s="511"/>
      <c r="D101" s="512"/>
      <c r="E101" s="513"/>
      <c r="F101" s="144" t="str">
        <f t="shared" si="2"/>
        <v/>
      </c>
    </row>
    <row r="102" spans="2:6">
      <c r="B102" s="84"/>
      <c r="C102" s="511"/>
      <c r="D102" s="512"/>
      <c r="E102" s="513"/>
      <c r="F102" s="144" t="str">
        <f t="shared" si="2"/>
        <v/>
      </c>
    </row>
    <row r="103" spans="2:6">
      <c r="B103" s="84"/>
      <c r="C103" s="511"/>
      <c r="D103" s="512"/>
      <c r="E103" s="513"/>
      <c r="F103" s="144" t="str">
        <f t="shared" si="2"/>
        <v/>
      </c>
    </row>
    <row r="104" spans="2:6" ht="13.5" thickBot="1">
      <c r="B104" s="85"/>
      <c r="C104" s="514"/>
      <c r="D104" s="515"/>
      <c r="E104" s="516"/>
      <c r="F104" s="145" t="str">
        <f t="shared" si="2"/>
        <v/>
      </c>
    </row>
    <row r="105" spans="2:6" ht="13.5" thickBot="1">
      <c r="B105" s="140" t="s">
        <v>78</v>
      </c>
      <c r="C105" s="141"/>
      <c r="D105" s="141"/>
      <c r="E105" s="142"/>
      <c r="F105" s="517"/>
    </row>
    <row r="106" spans="2:6">
      <c r="B106" s="1554" t="s">
        <v>79</v>
      </c>
      <c r="C106" s="1555"/>
      <c r="D106" s="1555"/>
      <c r="E106" s="1556"/>
      <c r="F106" s="146">
        <f>SUM(F96:F105)</f>
        <v>0</v>
      </c>
    </row>
    <row r="107" spans="2:6" ht="13.5" thickBot="1">
      <c r="B107" s="1560" t="s">
        <v>87</v>
      </c>
      <c r="C107" s="1561"/>
      <c r="D107" s="1561"/>
      <c r="E107" s="1562"/>
      <c r="F107" s="150" t="e">
        <f>1/F106</f>
        <v>#DIV/0!</v>
      </c>
    </row>
    <row r="108" spans="2:6" ht="13.5" thickBot="1"/>
    <row r="109" spans="2:6" ht="13.5" thickBot="1">
      <c r="B109" s="1068" t="s">
        <v>88</v>
      </c>
      <c r="C109" s="1069"/>
      <c r="D109" s="1069"/>
      <c r="E109" s="1069"/>
      <c r="F109" s="1070"/>
    </row>
    <row r="110" spans="2:6" ht="26.25" thickBot="1">
      <c r="B110" s="94" t="s">
        <v>69</v>
      </c>
      <c r="C110" s="151" t="s">
        <v>70</v>
      </c>
      <c r="D110" s="58" t="s">
        <v>71</v>
      </c>
      <c r="E110" s="59" t="s">
        <v>72</v>
      </c>
      <c r="F110" s="57" t="s">
        <v>73</v>
      </c>
    </row>
    <row r="111" spans="2:6" ht="13.5" thickBot="1">
      <c r="B111" s="140" t="s">
        <v>75</v>
      </c>
      <c r="C111" s="141"/>
      <c r="D111" s="141"/>
      <c r="E111" s="142"/>
      <c r="F111" s="507"/>
    </row>
    <row r="112" spans="2:6">
      <c r="B112" s="86"/>
      <c r="C112" s="508"/>
      <c r="D112" s="509"/>
      <c r="E112" s="510"/>
      <c r="F112" s="143">
        <v>3.2051282051282053</v>
      </c>
    </row>
    <row r="113" spans="2:6">
      <c r="B113" s="84"/>
      <c r="C113" s="511"/>
      <c r="D113" s="512"/>
      <c r="E113" s="513"/>
      <c r="F113" s="144">
        <v>1.0416666666666667</v>
      </c>
    </row>
    <row r="114" spans="2:6">
      <c r="B114" s="84"/>
      <c r="C114" s="511"/>
      <c r="D114" s="512"/>
      <c r="E114" s="513"/>
      <c r="F114" s="144">
        <v>4.1666666666666671E-2</v>
      </c>
    </row>
    <row r="115" spans="2:6">
      <c r="B115" s="84"/>
      <c r="C115" s="511"/>
      <c r="D115" s="512"/>
      <c r="E115" s="513"/>
      <c r="F115" s="144">
        <v>4.1666666666666671E-2</v>
      </c>
    </row>
    <row r="116" spans="2:6">
      <c r="B116" s="84"/>
      <c r="C116" s="511"/>
      <c r="D116" s="512"/>
      <c r="E116" s="513"/>
      <c r="F116" s="144">
        <v>4.1666666666666671E-2</v>
      </c>
    </row>
    <row r="117" spans="2:6">
      <c r="B117" s="84"/>
      <c r="C117" s="511"/>
      <c r="D117" s="512"/>
      <c r="E117" s="513"/>
      <c r="F117" s="144" t="str">
        <f>IFERROR(C117/E117,"")</f>
        <v/>
      </c>
    </row>
    <row r="118" spans="2:6">
      <c r="B118" s="84"/>
      <c r="C118" s="511"/>
      <c r="D118" s="512"/>
      <c r="E118" s="513"/>
      <c r="F118" s="144" t="str">
        <f>IFERROR(C118/E118,"")</f>
        <v/>
      </c>
    </row>
    <row r="119" spans="2:6" ht="13.5" thickBot="1">
      <c r="B119" s="85"/>
      <c r="C119" s="514"/>
      <c r="D119" s="515"/>
      <c r="E119" s="516"/>
      <c r="F119" s="145" t="str">
        <f>IFERROR(C119/E119,"")</f>
        <v/>
      </c>
    </row>
    <row r="120" spans="2:6" ht="13.5" thickBot="1">
      <c r="B120" s="140" t="s">
        <v>78</v>
      </c>
      <c r="C120" s="141"/>
      <c r="D120" s="141"/>
      <c r="E120" s="142"/>
      <c r="F120" s="517"/>
    </row>
    <row r="121" spans="2:6">
      <c r="B121" s="1554" t="s">
        <v>79</v>
      </c>
      <c r="C121" s="1555"/>
      <c r="D121" s="1555"/>
      <c r="E121" s="1556"/>
      <c r="F121" s="146">
        <f>SUM(F111:F120)</f>
        <v>4.3717948717948731</v>
      </c>
    </row>
    <row r="122" spans="2:6" ht="13.5" thickBot="1">
      <c r="B122" s="1560" t="s">
        <v>89</v>
      </c>
      <c r="C122" s="1561"/>
      <c r="D122" s="1561"/>
      <c r="E122" s="1562"/>
      <c r="F122" s="150">
        <f>1/F121</f>
        <v>0.22873900293255126</v>
      </c>
    </row>
    <row r="123" spans="2:6" ht="13.5" thickBot="1"/>
    <row r="124" spans="2:6" ht="13.5" thickBot="1">
      <c r="B124" s="1074" t="s">
        <v>90</v>
      </c>
      <c r="C124" s="1074"/>
      <c r="D124" s="1074"/>
      <c r="E124" s="1074"/>
      <c r="F124" s="1074"/>
    </row>
    <row r="125" spans="2:6" ht="13.5" thickBot="1">
      <c r="B125" s="94" t="s">
        <v>91</v>
      </c>
      <c r="C125" s="1075" t="s">
        <v>92</v>
      </c>
      <c r="D125" s="1075"/>
      <c r="E125" s="1075" t="s">
        <v>93</v>
      </c>
      <c r="F125" s="1075"/>
    </row>
    <row r="126" spans="2:6">
      <c r="B126" s="92" t="s">
        <v>94</v>
      </c>
      <c r="C126" s="1066"/>
      <c r="D126" s="1066"/>
      <c r="E126" s="1067" t="e">
        <f>F107*C126</f>
        <v>#DIV/0!</v>
      </c>
      <c r="F126" s="1067"/>
    </row>
    <row r="127" spans="2:6" ht="13.5" thickBot="1">
      <c r="B127" s="91" t="s">
        <v>95</v>
      </c>
      <c r="C127" s="1060">
        <f>1-C126</f>
        <v>1</v>
      </c>
      <c r="D127" s="1060"/>
      <c r="E127" s="1061">
        <f>F122*C127</f>
        <v>0.22873900293255126</v>
      </c>
      <c r="F127" s="1061"/>
    </row>
    <row r="128" spans="2:6" ht="13.5" thickBot="1">
      <c r="B128" s="1062" t="s">
        <v>96</v>
      </c>
      <c r="C128" s="1062"/>
      <c r="D128" s="1062"/>
      <c r="E128" s="1063" t="e">
        <f>SUM(E126:F127)</f>
        <v>#DIV/0!</v>
      </c>
      <c r="F128" s="1064"/>
    </row>
    <row r="130" spans="2:6" ht="13.5" thickBot="1"/>
    <row r="131" spans="2:6" ht="13.5" thickBot="1">
      <c r="B131" s="1068" t="s">
        <v>86</v>
      </c>
      <c r="C131" s="1069"/>
      <c r="D131" s="1069"/>
      <c r="E131" s="1069"/>
      <c r="F131" s="1070"/>
    </row>
    <row r="132" spans="2:6" ht="26.25" thickBot="1">
      <c r="B132" s="94" t="s">
        <v>69</v>
      </c>
      <c r="C132" s="151" t="s">
        <v>70</v>
      </c>
      <c r="D132" s="58" t="s">
        <v>71</v>
      </c>
      <c r="E132" s="59" t="s">
        <v>72</v>
      </c>
      <c r="F132" s="57" t="s">
        <v>73</v>
      </c>
    </row>
    <row r="133" spans="2:6" ht="13.5" thickBot="1">
      <c r="B133" s="140" t="s">
        <v>75</v>
      </c>
      <c r="C133" s="141"/>
      <c r="D133" s="141"/>
      <c r="E133" s="142"/>
      <c r="F133" s="507"/>
    </row>
    <row r="134" spans="2:6">
      <c r="B134" s="86"/>
      <c r="C134" s="508"/>
      <c r="D134" s="509"/>
      <c r="E134" s="510"/>
      <c r="F134" s="144" t="str">
        <f t="shared" ref="F134:F141" si="3">IFERROR(C134/E134,"")</f>
        <v/>
      </c>
    </row>
    <row r="135" spans="2:6">
      <c r="B135" s="84"/>
      <c r="C135" s="511"/>
      <c r="D135" s="512"/>
      <c r="E135" s="513"/>
      <c r="F135" s="144" t="str">
        <f t="shared" si="3"/>
        <v/>
      </c>
    </row>
    <row r="136" spans="2:6">
      <c r="B136" s="84"/>
      <c r="C136" s="511"/>
      <c r="D136" s="512"/>
      <c r="E136" s="513"/>
      <c r="F136" s="144" t="str">
        <f t="shared" si="3"/>
        <v/>
      </c>
    </row>
    <row r="137" spans="2:6">
      <c r="B137" s="84"/>
      <c r="C137" s="511"/>
      <c r="D137" s="512"/>
      <c r="E137" s="513"/>
      <c r="F137" s="144" t="str">
        <f t="shared" si="3"/>
        <v/>
      </c>
    </row>
    <row r="138" spans="2:6">
      <c r="B138" s="84"/>
      <c r="C138" s="511"/>
      <c r="D138" s="512"/>
      <c r="E138" s="513"/>
      <c r="F138" s="144" t="str">
        <f t="shared" si="3"/>
        <v/>
      </c>
    </row>
    <row r="139" spans="2:6">
      <c r="B139" s="84"/>
      <c r="C139" s="511"/>
      <c r="D139" s="512"/>
      <c r="E139" s="513"/>
      <c r="F139" s="144" t="str">
        <f t="shared" si="3"/>
        <v/>
      </c>
    </row>
    <row r="140" spans="2:6">
      <c r="B140" s="84"/>
      <c r="C140" s="511"/>
      <c r="D140" s="512"/>
      <c r="E140" s="513"/>
      <c r="F140" s="144" t="str">
        <f t="shared" si="3"/>
        <v/>
      </c>
    </row>
    <row r="141" spans="2:6" ht="13.5" thickBot="1">
      <c r="B141" s="85"/>
      <c r="C141" s="514"/>
      <c r="D141" s="515"/>
      <c r="E141" s="516"/>
      <c r="F141" s="145" t="str">
        <f t="shared" si="3"/>
        <v/>
      </c>
    </row>
    <row r="142" spans="2:6" ht="13.5" thickBot="1">
      <c r="B142" s="140" t="s">
        <v>78</v>
      </c>
      <c r="C142" s="141"/>
      <c r="D142" s="141"/>
      <c r="E142" s="142"/>
      <c r="F142" s="517"/>
    </row>
    <row r="143" spans="2:6">
      <c r="B143" s="1554" t="s">
        <v>79</v>
      </c>
      <c r="C143" s="1555"/>
      <c r="D143" s="1555"/>
      <c r="E143" s="1556"/>
      <c r="F143" s="146">
        <f>SUM(F133:F142)</f>
        <v>0</v>
      </c>
    </row>
    <row r="144" spans="2:6" ht="13.5" thickBot="1">
      <c r="B144" s="1560" t="s">
        <v>87</v>
      </c>
      <c r="C144" s="1561"/>
      <c r="D144" s="1561"/>
      <c r="E144" s="1562"/>
      <c r="F144" s="150" t="e">
        <f>1/F143</f>
        <v>#DIV/0!</v>
      </c>
    </row>
    <row r="145" spans="2:6" ht="13.5" thickBot="1"/>
    <row r="146" spans="2:6" ht="13.5" thickBot="1">
      <c r="B146" s="1068" t="s">
        <v>88</v>
      </c>
      <c r="C146" s="1069"/>
      <c r="D146" s="1069"/>
      <c r="E146" s="1069"/>
      <c r="F146" s="1070"/>
    </row>
    <row r="147" spans="2:6" ht="26.25" thickBot="1">
      <c r="B147" s="94" t="s">
        <v>69</v>
      </c>
      <c r="C147" s="151" t="s">
        <v>70</v>
      </c>
      <c r="D147" s="58" t="s">
        <v>71</v>
      </c>
      <c r="E147" s="59" t="s">
        <v>72</v>
      </c>
      <c r="F147" s="57" t="s">
        <v>73</v>
      </c>
    </row>
    <row r="148" spans="2:6" ht="13.5" thickBot="1">
      <c r="B148" s="140" t="s">
        <v>75</v>
      </c>
      <c r="C148" s="141"/>
      <c r="D148" s="141"/>
      <c r="E148" s="142"/>
      <c r="F148" s="507"/>
    </row>
    <row r="149" spans="2:6">
      <c r="B149" s="86"/>
      <c r="C149" s="508"/>
      <c r="D149" s="509"/>
      <c r="E149" s="510"/>
      <c r="F149" s="143">
        <v>3.2051282051282053</v>
      </c>
    </row>
    <row r="150" spans="2:6">
      <c r="B150" s="84"/>
      <c r="C150" s="511"/>
      <c r="D150" s="512"/>
      <c r="E150" s="513"/>
      <c r="F150" s="144">
        <v>1.0416666666666667</v>
      </c>
    </row>
    <row r="151" spans="2:6">
      <c r="B151" s="84"/>
      <c r="C151" s="511"/>
      <c r="D151" s="512"/>
      <c r="E151" s="513"/>
      <c r="F151" s="144">
        <v>4.1666666666666671E-2</v>
      </c>
    </row>
    <row r="152" spans="2:6">
      <c r="B152" s="84"/>
      <c r="C152" s="511"/>
      <c r="D152" s="512"/>
      <c r="E152" s="513"/>
      <c r="F152" s="144">
        <v>4.1666666666666671E-2</v>
      </c>
    </row>
    <row r="153" spans="2:6">
      <c r="B153" s="84"/>
      <c r="C153" s="511"/>
      <c r="D153" s="512"/>
      <c r="E153" s="513"/>
      <c r="F153" s="144">
        <v>4.1666666666666671E-2</v>
      </c>
    </row>
    <row r="154" spans="2:6">
      <c r="B154" s="84"/>
      <c r="C154" s="511"/>
      <c r="D154" s="512"/>
      <c r="E154" s="513"/>
      <c r="F154" s="144" t="str">
        <f>IFERROR(C154/E154,"")</f>
        <v/>
      </c>
    </row>
    <row r="155" spans="2:6">
      <c r="B155" s="84"/>
      <c r="C155" s="511"/>
      <c r="D155" s="512"/>
      <c r="E155" s="513"/>
      <c r="F155" s="144" t="str">
        <f>IFERROR(C155/E155,"")</f>
        <v/>
      </c>
    </row>
    <row r="156" spans="2:6" ht="13.5" thickBot="1">
      <c r="B156" s="85"/>
      <c r="C156" s="514"/>
      <c r="D156" s="515"/>
      <c r="E156" s="516"/>
      <c r="F156" s="145" t="str">
        <f>IFERROR(C156/E156,"")</f>
        <v/>
      </c>
    </row>
    <row r="157" spans="2:6" ht="13.5" thickBot="1">
      <c r="B157" s="140" t="s">
        <v>78</v>
      </c>
      <c r="C157" s="141"/>
      <c r="D157" s="141"/>
      <c r="E157" s="142"/>
      <c r="F157" s="517"/>
    </row>
    <row r="158" spans="2:6">
      <c r="B158" s="1554" t="s">
        <v>79</v>
      </c>
      <c r="C158" s="1555"/>
      <c r="D158" s="1555"/>
      <c r="E158" s="1556"/>
      <c r="F158" s="146">
        <f>SUM(F148:F157)</f>
        <v>4.3717948717948731</v>
      </c>
    </row>
    <row r="159" spans="2:6" ht="13.5" thickBot="1">
      <c r="B159" s="1560" t="s">
        <v>89</v>
      </c>
      <c r="C159" s="1561"/>
      <c r="D159" s="1561"/>
      <c r="E159" s="1562"/>
      <c r="F159" s="150">
        <f>1/F158</f>
        <v>0.22873900293255126</v>
      </c>
    </row>
    <row r="160" spans="2:6" ht="13.5" thickBot="1"/>
    <row r="161" spans="2:6" ht="13.5" thickBot="1">
      <c r="B161" s="1074" t="s">
        <v>90</v>
      </c>
      <c r="C161" s="1074"/>
      <c r="D161" s="1074"/>
      <c r="E161" s="1074"/>
      <c r="F161" s="1074"/>
    </row>
    <row r="162" spans="2:6" ht="13.5" thickBot="1">
      <c r="B162" s="94" t="s">
        <v>91</v>
      </c>
      <c r="C162" s="1075" t="s">
        <v>92</v>
      </c>
      <c r="D162" s="1075"/>
      <c r="E162" s="1075" t="s">
        <v>93</v>
      </c>
      <c r="F162" s="1075"/>
    </row>
    <row r="163" spans="2:6">
      <c r="B163" s="92" t="s">
        <v>94</v>
      </c>
      <c r="C163" s="1066"/>
      <c r="D163" s="1066"/>
      <c r="E163" s="1067" t="e">
        <f>F144*C163</f>
        <v>#DIV/0!</v>
      </c>
      <c r="F163" s="1067"/>
    </row>
    <row r="164" spans="2:6" ht="13.5" thickBot="1">
      <c r="B164" s="91" t="s">
        <v>95</v>
      </c>
      <c r="C164" s="1060">
        <f>1-C163</f>
        <v>1</v>
      </c>
      <c r="D164" s="1060"/>
      <c r="E164" s="1061">
        <f>F159*C164</f>
        <v>0.22873900293255126</v>
      </c>
      <c r="F164" s="1061"/>
    </row>
    <row r="165" spans="2:6" ht="13.5" thickBot="1">
      <c r="B165" s="1062" t="s">
        <v>96</v>
      </c>
      <c r="C165" s="1062"/>
      <c r="D165" s="1062"/>
      <c r="E165" s="1063" t="e">
        <f>SUM(E163:F164)</f>
        <v>#DIV/0!</v>
      </c>
      <c r="F165" s="1064"/>
    </row>
    <row r="167" spans="2:6" ht="13.5" thickBot="1"/>
    <row r="168" spans="2:6" ht="13.5" thickBot="1">
      <c r="B168" s="1068" t="s">
        <v>86</v>
      </c>
      <c r="C168" s="1069"/>
      <c r="D168" s="1069"/>
      <c r="E168" s="1069"/>
      <c r="F168" s="1070"/>
    </row>
    <row r="169" spans="2:6" ht="26.25" thickBot="1">
      <c r="B169" s="94" t="s">
        <v>69</v>
      </c>
      <c r="C169" s="151" t="s">
        <v>70</v>
      </c>
      <c r="D169" s="58" t="s">
        <v>71</v>
      </c>
      <c r="E169" s="59" t="s">
        <v>72</v>
      </c>
      <c r="F169" s="57" t="s">
        <v>73</v>
      </c>
    </row>
    <row r="170" spans="2:6" ht="13.5" thickBot="1">
      <c r="B170" s="140" t="s">
        <v>75</v>
      </c>
      <c r="C170" s="141"/>
      <c r="D170" s="141"/>
      <c r="E170" s="142"/>
      <c r="F170" s="507">
        <v>0.12</v>
      </c>
    </row>
    <row r="171" spans="2:6">
      <c r="B171" s="86"/>
      <c r="C171" s="508"/>
      <c r="D171" s="509"/>
      <c r="E171" s="510"/>
      <c r="F171" s="144" t="str">
        <f t="shared" ref="F171:F178" si="4">IFERROR(C171/E171,"")</f>
        <v/>
      </c>
    </row>
    <row r="172" spans="2:6">
      <c r="B172" s="84"/>
      <c r="C172" s="511"/>
      <c r="D172" s="512"/>
      <c r="E172" s="513"/>
      <c r="F172" s="144" t="str">
        <f t="shared" si="4"/>
        <v/>
      </c>
    </row>
    <row r="173" spans="2:6">
      <c r="B173" s="84"/>
      <c r="C173" s="511"/>
      <c r="D173" s="512"/>
      <c r="E173" s="513"/>
      <c r="F173" s="144" t="str">
        <f t="shared" si="4"/>
        <v/>
      </c>
    </row>
    <row r="174" spans="2:6">
      <c r="B174" s="84"/>
      <c r="C174" s="511"/>
      <c r="D174" s="512"/>
      <c r="E174" s="513"/>
      <c r="F174" s="144" t="str">
        <f t="shared" si="4"/>
        <v/>
      </c>
    </row>
    <row r="175" spans="2:6">
      <c r="B175" s="84"/>
      <c r="C175" s="511"/>
      <c r="D175" s="512"/>
      <c r="E175" s="513"/>
      <c r="F175" s="144" t="str">
        <f t="shared" si="4"/>
        <v/>
      </c>
    </row>
    <row r="176" spans="2:6">
      <c r="B176" s="84"/>
      <c r="C176" s="511"/>
      <c r="D176" s="512"/>
      <c r="E176" s="513"/>
      <c r="F176" s="144" t="str">
        <f t="shared" si="4"/>
        <v/>
      </c>
    </row>
    <row r="177" spans="2:6">
      <c r="B177" s="84"/>
      <c r="C177" s="511"/>
      <c r="D177" s="512"/>
      <c r="E177" s="513"/>
      <c r="F177" s="144" t="str">
        <f t="shared" si="4"/>
        <v/>
      </c>
    </row>
    <row r="178" spans="2:6" ht="13.5" thickBot="1">
      <c r="B178" s="85"/>
      <c r="C178" s="514"/>
      <c r="D178" s="515"/>
      <c r="E178" s="516"/>
      <c r="F178" s="145" t="str">
        <f t="shared" si="4"/>
        <v/>
      </c>
    </row>
    <row r="179" spans="2:6" ht="13.5" thickBot="1">
      <c r="B179" s="140" t="s">
        <v>78</v>
      </c>
      <c r="C179" s="141"/>
      <c r="D179" s="141"/>
      <c r="E179" s="142"/>
      <c r="F179" s="517">
        <v>0.05</v>
      </c>
    </row>
    <row r="180" spans="2:6">
      <c r="B180" s="1554" t="s">
        <v>79</v>
      </c>
      <c r="C180" s="1555"/>
      <c r="D180" s="1555"/>
      <c r="E180" s="1556"/>
      <c r="F180" s="146">
        <f>SUM(F170:F179)</f>
        <v>0.16999999999999998</v>
      </c>
    </row>
    <row r="181" spans="2:6" ht="13.5" thickBot="1">
      <c r="B181" s="1560" t="s">
        <v>87</v>
      </c>
      <c r="C181" s="1561"/>
      <c r="D181" s="1561"/>
      <c r="E181" s="1562"/>
      <c r="F181" s="150">
        <f>1/F180</f>
        <v>5.882352941176471</v>
      </c>
    </row>
    <row r="182" spans="2:6" ht="13.5" thickBot="1"/>
    <row r="183" spans="2:6" ht="13.5" thickBot="1">
      <c r="B183" s="1068" t="s">
        <v>88</v>
      </c>
      <c r="C183" s="1069"/>
      <c r="D183" s="1069"/>
      <c r="E183" s="1069"/>
      <c r="F183" s="1070"/>
    </row>
    <row r="184" spans="2:6" ht="26.25" thickBot="1">
      <c r="B184" s="94" t="s">
        <v>69</v>
      </c>
      <c r="C184" s="151" t="s">
        <v>70</v>
      </c>
      <c r="D184" s="58" t="s">
        <v>71</v>
      </c>
      <c r="E184" s="59" t="s">
        <v>72</v>
      </c>
      <c r="F184" s="57" t="s">
        <v>73</v>
      </c>
    </row>
    <row r="185" spans="2:6" ht="13.5" thickBot="1">
      <c r="B185" s="140" t="s">
        <v>75</v>
      </c>
      <c r="C185" s="141"/>
      <c r="D185" s="141"/>
      <c r="E185" s="142"/>
      <c r="F185" s="507"/>
    </row>
    <row r="186" spans="2:6">
      <c r="B186" s="86"/>
      <c r="C186" s="508"/>
      <c r="D186" s="509"/>
      <c r="E186" s="510"/>
      <c r="F186" s="143">
        <v>3.2051282051282053</v>
      </c>
    </row>
    <row r="187" spans="2:6">
      <c r="B187" s="84"/>
      <c r="C187" s="511"/>
      <c r="D187" s="512"/>
      <c r="E187" s="513"/>
      <c r="F187" s="144">
        <v>1.0416666666666667</v>
      </c>
    </row>
    <row r="188" spans="2:6">
      <c r="B188" s="84"/>
      <c r="C188" s="511"/>
      <c r="D188" s="512"/>
      <c r="E188" s="513"/>
      <c r="F188" s="144">
        <v>4.1666666666666671E-2</v>
      </c>
    </row>
    <row r="189" spans="2:6">
      <c r="B189" s="84"/>
      <c r="C189" s="511"/>
      <c r="D189" s="512"/>
      <c r="E189" s="513"/>
      <c r="F189" s="144">
        <v>4.1666666666666671E-2</v>
      </c>
    </row>
    <row r="190" spans="2:6">
      <c r="B190" s="84"/>
      <c r="C190" s="511"/>
      <c r="D190" s="512"/>
      <c r="E190" s="513"/>
      <c r="F190" s="144">
        <v>4.1666666666666671E-2</v>
      </c>
    </row>
    <row r="191" spans="2:6">
      <c r="B191" s="84"/>
      <c r="C191" s="511"/>
      <c r="D191" s="512"/>
      <c r="E191" s="513"/>
      <c r="F191" s="144" t="str">
        <f>IFERROR(C191/E191,"")</f>
        <v/>
      </c>
    </row>
    <row r="192" spans="2:6">
      <c r="B192" s="84"/>
      <c r="C192" s="511"/>
      <c r="D192" s="512"/>
      <c r="E192" s="513"/>
      <c r="F192" s="144" t="str">
        <f>IFERROR(C192/E192,"")</f>
        <v/>
      </c>
    </row>
    <row r="193" spans="2:6" ht="13.5" thickBot="1">
      <c r="B193" s="85"/>
      <c r="C193" s="514"/>
      <c r="D193" s="515"/>
      <c r="E193" s="516"/>
      <c r="F193" s="145" t="str">
        <f>IFERROR(C193/E193,"")</f>
        <v/>
      </c>
    </row>
    <row r="194" spans="2:6" ht="13.5" thickBot="1">
      <c r="B194" s="140" t="s">
        <v>78</v>
      </c>
      <c r="C194" s="141"/>
      <c r="D194" s="141"/>
      <c r="E194" s="142"/>
      <c r="F194" s="517"/>
    </row>
    <row r="195" spans="2:6">
      <c r="B195" s="1554" t="s">
        <v>79</v>
      </c>
      <c r="C195" s="1555"/>
      <c r="D195" s="1555"/>
      <c r="E195" s="1556"/>
      <c r="F195" s="146">
        <f>SUM(F185:F194)</f>
        <v>4.3717948717948731</v>
      </c>
    </row>
    <row r="196" spans="2:6" ht="13.5" thickBot="1">
      <c r="B196" s="1560" t="s">
        <v>89</v>
      </c>
      <c r="C196" s="1561"/>
      <c r="D196" s="1561"/>
      <c r="E196" s="1562"/>
      <c r="F196" s="150">
        <f>1/F195</f>
        <v>0.22873900293255126</v>
      </c>
    </row>
    <row r="197" spans="2:6" ht="13.5" thickBot="1"/>
    <row r="198" spans="2:6" ht="13.5" thickBot="1">
      <c r="B198" s="1074" t="s">
        <v>90</v>
      </c>
      <c r="C198" s="1074"/>
      <c r="D198" s="1074"/>
      <c r="E198" s="1074"/>
      <c r="F198" s="1074"/>
    </row>
    <row r="199" spans="2:6" ht="13.5" thickBot="1">
      <c r="B199" s="94" t="s">
        <v>91</v>
      </c>
      <c r="C199" s="1075" t="s">
        <v>92</v>
      </c>
      <c r="D199" s="1075"/>
      <c r="E199" s="1075" t="s">
        <v>93</v>
      </c>
      <c r="F199" s="1075"/>
    </row>
    <row r="200" spans="2:6">
      <c r="B200" s="92" t="s">
        <v>94</v>
      </c>
      <c r="C200" s="1066"/>
      <c r="D200" s="1066"/>
      <c r="E200" s="1067">
        <f>F181*C200</f>
        <v>0</v>
      </c>
      <c r="F200" s="1067"/>
    </row>
    <row r="201" spans="2:6" ht="13.5" thickBot="1">
      <c r="B201" s="91" t="s">
        <v>95</v>
      </c>
      <c r="C201" s="1060">
        <f>1-C200</f>
        <v>1</v>
      </c>
      <c r="D201" s="1060"/>
      <c r="E201" s="1061">
        <f>F196*C201</f>
        <v>0.22873900293255126</v>
      </c>
      <c r="F201" s="1061"/>
    </row>
    <row r="202" spans="2:6" ht="13.5" thickBot="1">
      <c r="B202" s="1062" t="s">
        <v>96</v>
      </c>
      <c r="C202" s="1062"/>
      <c r="D202" s="1062"/>
      <c r="E202" s="1063">
        <f>SUM(E200:F201)</f>
        <v>0.22873900293255126</v>
      </c>
      <c r="F202" s="1064"/>
    </row>
  </sheetData>
  <mergeCells count="81">
    <mergeCell ref="H4:H5"/>
    <mergeCell ref="I4:P4"/>
    <mergeCell ref="Q4:W4"/>
    <mergeCell ref="O26:O36"/>
    <mergeCell ref="P26:U26"/>
    <mergeCell ref="V26:Y26"/>
    <mergeCell ref="H53:L53"/>
    <mergeCell ref="B54:F54"/>
    <mergeCell ref="B27:F27"/>
    <mergeCell ref="B28:F28"/>
    <mergeCell ref="H28:L28"/>
    <mergeCell ref="B29:F29"/>
    <mergeCell ref="B30:F30"/>
    <mergeCell ref="H36:L44"/>
    <mergeCell ref="B72:F72"/>
    <mergeCell ref="B47:E47"/>
    <mergeCell ref="B48:E48"/>
    <mergeCell ref="B52:F52"/>
    <mergeCell ref="B53:F53"/>
    <mergeCell ref="B55:F55"/>
    <mergeCell ref="B57:F57"/>
    <mergeCell ref="H57:L65"/>
    <mergeCell ref="B69:E69"/>
    <mergeCell ref="B70:E70"/>
    <mergeCell ref="B107:E107"/>
    <mergeCell ref="B84:E84"/>
    <mergeCell ref="B85:E85"/>
    <mergeCell ref="B87:F87"/>
    <mergeCell ref="C88:D88"/>
    <mergeCell ref="E88:F88"/>
    <mergeCell ref="C89:D89"/>
    <mergeCell ref="E89:F89"/>
    <mergeCell ref="C90:D90"/>
    <mergeCell ref="E90:F90"/>
    <mergeCell ref="B91:D91"/>
    <mergeCell ref="B94:F94"/>
    <mergeCell ref="B106:E106"/>
    <mergeCell ref="B109:F109"/>
    <mergeCell ref="B121:E121"/>
    <mergeCell ref="B122:E122"/>
    <mergeCell ref="B124:F124"/>
    <mergeCell ref="C125:D125"/>
    <mergeCell ref="E125:F125"/>
    <mergeCell ref="C126:D126"/>
    <mergeCell ref="E126:F126"/>
    <mergeCell ref="C127:D127"/>
    <mergeCell ref="E127:F127"/>
    <mergeCell ref="B128:D128"/>
    <mergeCell ref="E128:F128"/>
    <mergeCell ref="H3:W3"/>
    <mergeCell ref="B195:E195"/>
    <mergeCell ref="B196:E196"/>
    <mergeCell ref="B198:F198"/>
    <mergeCell ref="C199:D199"/>
    <mergeCell ref="E199:F199"/>
    <mergeCell ref="B165:D165"/>
    <mergeCell ref="E165:F165"/>
    <mergeCell ref="B168:F168"/>
    <mergeCell ref="B180:E180"/>
    <mergeCell ref="B181:E181"/>
    <mergeCell ref="B183:F183"/>
    <mergeCell ref="B161:F161"/>
    <mergeCell ref="C162:D162"/>
    <mergeCell ref="E162:F162"/>
    <mergeCell ref="C163:D163"/>
    <mergeCell ref="C201:D201"/>
    <mergeCell ref="E201:F201"/>
    <mergeCell ref="B202:D202"/>
    <mergeCell ref="E202:F202"/>
    <mergeCell ref="H16:W16"/>
    <mergeCell ref="C200:D200"/>
    <mergeCell ref="E200:F200"/>
    <mergeCell ref="E163:F163"/>
    <mergeCell ref="C164:D164"/>
    <mergeCell ref="E164:F164"/>
    <mergeCell ref="B131:F131"/>
    <mergeCell ref="B143:E143"/>
    <mergeCell ref="B144:E144"/>
    <mergeCell ref="B146:F146"/>
    <mergeCell ref="B158:E158"/>
    <mergeCell ref="B159:E159"/>
  </mergeCells>
  <conditionalFormatting sqref="F92">
    <cfRule type="containsText" dxfId="361" priority="1" operator="containsText" text="No cumple">
      <formula>NOT(ISERROR(SEARCH("No cumple",F92)))</formula>
    </cfRule>
    <cfRule type="containsText" dxfId="360" priority="2" operator="containsText" text="Cumple">
      <formula>NOT(ISERROR(SEARCH("Cumple",F92)))</formula>
    </cfRule>
  </conditionalFormatting>
  <conditionalFormatting sqref="I33">
    <cfRule type="containsText" dxfId="359" priority="3" operator="containsText" text="No cumple">
      <formula>NOT(ISERROR(SEARCH("No cumple",I33)))</formula>
    </cfRule>
    <cfRule type="containsText" dxfId="358" priority="4" operator="containsText" text="Cumple">
      <formula>NOT(ISERROR(SEARCH("Cumple",I33)))</formula>
    </cfRule>
  </conditionalFormatting>
  <dataValidations count="6">
    <dataValidation type="list" allowBlank="1" showInputMessage="1" showErrorMessage="1" sqref="D92" xr:uid="{70D9A293-04A2-445B-9821-2D1DBBD30C1C}">
      <formula1>#REF!</formula1>
    </dataValidation>
    <dataValidation type="list" allowBlank="1" showInputMessage="1" showErrorMessage="1" sqref="C34" xr:uid="{830C9CEB-DF75-469A-97DA-7CC1CC4F6DEF}">
      <formula1>$H$6:$H$13</formula1>
    </dataValidation>
    <dataValidation type="list" allowBlank="1" showInputMessage="1" showErrorMessage="1" sqref="C33" xr:uid="{AC13EA89-773E-4E79-93B4-B08EB6D66F06}">
      <formula1>INDIRECT(SUBSTITUTE($C$32," ","_"))</formula1>
    </dataValidation>
    <dataValidation type="list" allowBlank="1" showInputMessage="1" showErrorMessage="1" sqref="C32" xr:uid="{3A6E0407-AFCB-42A3-B871-DBB73A532C42}">
      <formula1>$I$4:$W$4</formula1>
    </dataValidation>
    <dataValidation type="list" allowBlank="1" showInputMessage="1" showErrorMessage="1" sqref="C92" xr:uid="{B1338F4A-EF4B-4907-A5B6-686EF660D2FF}">
      <formula1>$F$6:$F$14</formula1>
    </dataValidation>
    <dataValidation type="list" allowBlank="1" showInputMessage="1" showErrorMessage="1" sqref="E92" xr:uid="{974ABCB4-4D6E-47C9-8A24-B764B0D57F5F}">
      <formula1>"Ligero,Sólido"</formula1>
    </dataValidation>
  </dataValidations>
  <pageMargins left="0.7" right="0.7" top="0.98624999999999996" bottom="0.75" header="0.3" footer="0.3"/>
  <pageSetup paperSize="9" scale="81" orientation="landscape" r:id="rId1"/>
  <headerFooter>
    <oddHeader>&amp;L&amp;G</oddHeader>
    <oddFooter>&amp;L&amp;D&amp;R&amp;A</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B82F8-5FCA-4002-BF03-3B12706955DA}">
  <dimension ref="A1:X204"/>
  <sheetViews>
    <sheetView showGridLines="0" zoomScale="69" zoomScaleNormal="70" zoomScalePageLayoutView="80" workbookViewId="0">
      <selection activeCell="K6" sqref="K6:L14"/>
    </sheetView>
  </sheetViews>
  <sheetFormatPr defaultColWidth="8.7109375" defaultRowHeight="12.75"/>
  <cols>
    <col min="1" max="1" width="5.28515625" customWidth="1"/>
    <col min="2" max="2" width="23.7109375" customWidth="1"/>
    <col min="3" max="6" width="15.7109375" customWidth="1"/>
    <col min="7" max="7" width="2.28515625" customWidth="1"/>
    <col min="11" max="11" width="14.28515625" customWidth="1"/>
    <col min="15" max="15" width="10" customWidth="1"/>
    <col min="16" max="20" width="11.5703125" style="1" customWidth="1"/>
    <col min="21" max="22" width="11.5703125" customWidth="1"/>
  </cols>
  <sheetData>
    <row r="1" spans="1:24" s="117" customFormat="1" ht="26.85" customHeight="1">
      <c r="A1" s="115" t="s">
        <v>13</v>
      </c>
      <c r="B1" s="116" t="s">
        <v>14</v>
      </c>
      <c r="C1" s="116"/>
      <c r="D1" s="116"/>
      <c r="E1" s="116" t="s">
        <v>4</v>
      </c>
      <c r="F1" s="116"/>
      <c r="G1" s="116"/>
      <c r="H1" s="116"/>
      <c r="I1" s="116" t="s">
        <v>5</v>
      </c>
      <c r="P1" s="796"/>
      <c r="Q1" s="796"/>
      <c r="R1" s="796"/>
      <c r="S1" s="796"/>
      <c r="T1" s="796"/>
    </row>
    <row r="2" spans="1:24" ht="13.5" thickBot="1"/>
    <row r="3" spans="1:24" ht="13.5" thickBot="1">
      <c r="B3" s="653" t="s">
        <v>15</v>
      </c>
      <c r="C3" s="654"/>
      <c r="D3" s="655"/>
      <c r="F3" s="795" t="s">
        <v>100</v>
      </c>
      <c r="O3" s="4" t="s">
        <v>101</v>
      </c>
    </row>
    <row r="4" spans="1:24" ht="27" customHeight="1" thickBot="1">
      <c r="B4" s="65" t="s">
        <v>17</v>
      </c>
      <c r="C4" s="69" t="s">
        <v>18</v>
      </c>
      <c r="D4" s="70" t="s">
        <v>7</v>
      </c>
      <c r="F4" s="1086" t="s">
        <v>19</v>
      </c>
      <c r="G4" s="1086"/>
      <c r="H4" s="1087" t="s">
        <v>102</v>
      </c>
      <c r="I4" s="1087"/>
      <c r="J4" s="1087"/>
      <c r="K4" s="1088" t="s">
        <v>98</v>
      </c>
      <c r="L4" s="1088"/>
      <c r="M4" s="1088"/>
      <c r="O4" s="1089" t="s">
        <v>19</v>
      </c>
      <c r="P4" s="1090" t="s">
        <v>102</v>
      </c>
      <c r="Q4" s="1090"/>
      <c r="R4" s="1090"/>
      <c r="S4" s="1090"/>
      <c r="T4" s="1091"/>
      <c r="U4" s="1083" t="s">
        <v>98</v>
      </c>
      <c r="V4" s="1084"/>
      <c r="W4" s="1084"/>
      <c r="X4" s="1085"/>
    </row>
    <row r="5" spans="1:24" ht="38.25">
      <c r="B5" s="5" t="s">
        <v>22</v>
      </c>
      <c r="C5" s="72"/>
      <c r="D5" s="6" t="s">
        <v>9</v>
      </c>
      <c r="E5">
        <v>1</v>
      </c>
      <c r="F5" s="1086"/>
      <c r="G5" s="1086"/>
      <c r="H5" s="794" t="s">
        <v>103</v>
      </c>
      <c r="I5" s="794" t="s">
        <v>99</v>
      </c>
      <c r="J5" s="627" t="s">
        <v>104</v>
      </c>
      <c r="K5" s="794" t="s">
        <v>103</v>
      </c>
      <c r="L5" s="794" t="s">
        <v>99</v>
      </c>
      <c r="M5" s="627" t="s">
        <v>104</v>
      </c>
      <c r="O5" s="1080"/>
      <c r="P5" s="627" t="s">
        <v>105</v>
      </c>
      <c r="Q5" s="627" t="s">
        <v>106</v>
      </c>
      <c r="R5" s="627" t="s">
        <v>107</v>
      </c>
      <c r="S5" s="627" t="s">
        <v>108</v>
      </c>
      <c r="T5" s="627" t="s">
        <v>104</v>
      </c>
      <c r="U5" s="872" t="s">
        <v>109</v>
      </c>
      <c r="V5" s="872" t="s">
        <v>110</v>
      </c>
      <c r="W5" s="873" t="s">
        <v>111</v>
      </c>
      <c r="X5" s="874" t="s">
        <v>112</v>
      </c>
    </row>
    <row r="6" spans="1:24">
      <c r="B6" s="7" t="s">
        <v>31</v>
      </c>
      <c r="C6" s="73"/>
      <c r="D6" s="10" t="s">
        <v>9</v>
      </c>
      <c r="E6">
        <v>2</v>
      </c>
      <c r="F6" s="792" t="s">
        <v>32</v>
      </c>
      <c r="G6" s="793"/>
      <c r="H6" s="791">
        <v>0.4</v>
      </c>
      <c r="I6" s="791">
        <v>0.6</v>
      </c>
      <c r="J6" s="791">
        <v>1.9</v>
      </c>
      <c r="K6" s="791">
        <v>0.6</v>
      </c>
      <c r="L6" s="791">
        <v>0.6</v>
      </c>
      <c r="M6" s="791">
        <v>3</v>
      </c>
      <c r="O6" s="860">
        <v>0</v>
      </c>
      <c r="P6" s="318">
        <v>0.4</v>
      </c>
      <c r="Q6" s="318">
        <v>0.6</v>
      </c>
      <c r="R6" s="318">
        <v>0.65</v>
      </c>
      <c r="S6" s="318">
        <v>0.75</v>
      </c>
      <c r="T6" s="318">
        <v>1.9</v>
      </c>
      <c r="U6" s="318">
        <v>0.6</v>
      </c>
      <c r="V6" s="318">
        <v>0.75</v>
      </c>
      <c r="W6" s="318">
        <v>0.75</v>
      </c>
      <c r="X6" s="861">
        <v>3</v>
      </c>
    </row>
    <row r="7" spans="1:24">
      <c r="B7" s="7" t="s">
        <v>33</v>
      </c>
      <c r="C7" s="73"/>
      <c r="D7" s="10" t="s">
        <v>9</v>
      </c>
      <c r="E7">
        <v>3</v>
      </c>
      <c r="F7" s="792" t="s">
        <v>34</v>
      </c>
      <c r="G7" s="793"/>
      <c r="H7" s="791">
        <v>0.4</v>
      </c>
      <c r="I7" s="791">
        <v>0.6</v>
      </c>
      <c r="J7" s="791">
        <v>1.9</v>
      </c>
      <c r="K7" s="791">
        <v>0.6</v>
      </c>
      <c r="L7" s="791">
        <v>0.6</v>
      </c>
      <c r="M7" s="791">
        <v>3</v>
      </c>
      <c r="O7" s="860">
        <v>1</v>
      </c>
      <c r="P7" s="318">
        <v>0.4</v>
      </c>
      <c r="Q7" s="318">
        <v>0.6</v>
      </c>
      <c r="R7" s="318">
        <v>0.65</v>
      </c>
      <c r="S7" s="318">
        <v>0.75</v>
      </c>
      <c r="T7" s="318">
        <v>1.9</v>
      </c>
      <c r="U7" s="318">
        <v>0.6</v>
      </c>
      <c r="V7" s="318">
        <v>0.75</v>
      </c>
      <c r="W7" s="318">
        <v>0.75</v>
      </c>
      <c r="X7" s="861">
        <v>3</v>
      </c>
    </row>
    <row r="8" spans="1:24">
      <c r="B8" s="7" t="s">
        <v>35</v>
      </c>
      <c r="C8" s="73"/>
      <c r="D8" s="10" t="s">
        <v>9</v>
      </c>
      <c r="E8">
        <v>4</v>
      </c>
      <c r="F8" s="792" t="s">
        <v>36</v>
      </c>
      <c r="G8" s="793"/>
      <c r="H8" s="791">
        <v>0.3</v>
      </c>
      <c r="I8" s="791">
        <v>0.5</v>
      </c>
      <c r="J8" s="791">
        <v>1.9</v>
      </c>
      <c r="K8" s="791">
        <v>0.4</v>
      </c>
      <c r="L8" s="791">
        <v>0.5</v>
      </c>
      <c r="M8" s="791">
        <v>3</v>
      </c>
      <c r="O8" s="860">
        <v>2</v>
      </c>
      <c r="P8" s="318">
        <v>0.4</v>
      </c>
      <c r="Q8" s="318">
        <v>0.6</v>
      </c>
      <c r="R8" s="318">
        <v>0.65</v>
      </c>
      <c r="S8" s="318">
        <v>0.75</v>
      </c>
      <c r="T8" s="318">
        <v>1.9</v>
      </c>
      <c r="U8" s="318">
        <v>0.6</v>
      </c>
      <c r="V8" s="318">
        <v>0.75</v>
      </c>
      <c r="W8" s="318">
        <v>0.75</v>
      </c>
      <c r="X8" s="861">
        <v>3</v>
      </c>
    </row>
    <row r="9" spans="1:24" ht="13.5" thickBot="1">
      <c r="B9" s="8" t="s">
        <v>37</v>
      </c>
      <c r="C9" s="74"/>
      <c r="D9" s="11" t="s">
        <v>9</v>
      </c>
      <c r="E9">
        <v>5</v>
      </c>
      <c r="F9" s="792" t="s">
        <v>38</v>
      </c>
      <c r="G9" s="793"/>
      <c r="H9" s="791">
        <v>0.3</v>
      </c>
      <c r="I9" s="791">
        <v>0.5</v>
      </c>
      <c r="J9" s="791">
        <v>1.9</v>
      </c>
      <c r="K9" s="791">
        <v>0.4</v>
      </c>
      <c r="L9" s="791">
        <v>0.5</v>
      </c>
      <c r="M9" s="791">
        <v>3</v>
      </c>
      <c r="O9" s="860">
        <v>3</v>
      </c>
      <c r="P9" s="318">
        <v>0.4</v>
      </c>
      <c r="Q9" s="318">
        <v>0.5</v>
      </c>
      <c r="R9" s="318">
        <v>0.5</v>
      </c>
      <c r="S9" s="318">
        <v>0.6</v>
      </c>
      <c r="T9" s="318">
        <v>3</v>
      </c>
      <c r="U9" s="318">
        <v>0.6</v>
      </c>
      <c r="V9" s="318">
        <v>0.6</v>
      </c>
      <c r="W9" s="318">
        <v>0.75</v>
      </c>
      <c r="X9" s="861">
        <v>3</v>
      </c>
    </row>
    <row r="10" spans="1:24">
      <c r="B10" s="5" t="s">
        <v>39</v>
      </c>
      <c r="C10" s="72"/>
      <c r="D10" s="6" t="s">
        <v>9</v>
      </c>
      <c r="E10">
        <v>6</v>
      </c>
      <c r="F10" s="792" t="s">
        <v>40</v>
      </c>
      <c r="G10" s="793"/>
      <c r="H10" s="791">
        <v>0.25</v>
      </c>
      <c r="I10" s="791">
        <v>0.25</v>
      </c>
      <c r="J10" s="791">
        <v>1.9</v>
      </c>
      <c r="K10" s="791">
        <v>0.4</v>
      </c>
      <c r="L10" s="791">
        <v>0.4</v>
      </c>
      <c r="M10" s="791">
        <v>3</v>
      </c>
      <c r="O10" s="860">
        <v>4</v>
      </c>
      <c r="P10" s="318">
        <v>0.3</v>
      </c>
      <c r="Q10" s="318">
        <v>0.4</v>
      </c>
      <c r="R10" s="318">
        <v>0.4</v>
      </c>
      <c r="S10" s="318">
        <v>0.5</v>
      </c>
      <c r="T10" s="318">
        <v>1.9</v>
      </c>
      <c r="U10" s="318">
        <v>0.4</v>
      </c>
      <c r="V10" s="318">
        <v>0.5</v>
      </c>
      <c r="W10" s="318">
        <v>0.5</v>
      </c>
      <c r="X10" s="861">
        <v>3</v>
      </c>
    </row>
    <row r="11" spans="1:24">
      <c r="B11" s="7" t="s">
        <v>41</v>
      </c>
      <c r="C11" s="73"/>
      <c r="D11" s="10" t="s">
        <v>9</v>
      </c>
      <c r="E11">
        <v>7</v>
      </c>
      <c r="F11" s="792" t="s">
        <v>42</v>
      </c>
      <c r="G11" s="793"/>
      <c r="H11" s="791">
        <v>0.25</v>
      </c>
      <c r="I11" s="791">
        <v>0.25</v>
      </c>
      <c r="J11" s="791">
        <v>1.9</v>
      </c>
      <c r="K11" s="791">
        <v>0.3</v>
      </c>
      <c r="L11" s="791">
        <v>0.3</v>
      </c>
      <c r="M11" s="791">
        <v>3</v>
      </c>
      <c r="O11" s="860">
        <v>5</v>
      </c>
      <c r="P11" s="318">
        <v>0.25</v>
      </c>
      <c r="Q11" s="318">
        <v>0.25</v>
      </c>
      <c r="R11" s="318">
        <v>0.25</v>
      </c>
      <c r="S11" s="318">
        <v>0.25</v>
      </c>
      <c r="T11" s="318">
        <v>1.9</v>
      </c>
      <c r="U11" s="318">
        <v>0.4</v>
      </c>
      <c r="V11" s="318">
        <v>0.4</v>
      </c>
      <c r="W11" s="318">
        <v>0.5</v>
      </c>
      <c r="X11" s="861">
        <v>3</v>
      </c>
    </row>
    <row r="12" spans="1:24" ht="13.5" thickBot="1">
      <c r="B12" s="8" t="s">
        <v>43</v>
      </c>
      <c r="C12" s="74"/>
      <c r="D12" s="11" t="s">
        <v>9</v>
      </c>
      <c r="E12">
        <v>8</v>
      </c>
      <c r="F12" s="792" t="s">
        <v>44</v>
      </c>
      <c r="G12" s="793"/>
      <c r="H12" s="791">
        <v>0.25</v>
      </c>
      <c r="I12" s="791">
        <v>0.25</v>
      </c>
      <c r="J12" s="791">
        <v>1.9</v>
      </c>
      <c r="K12" s="791">
        <v>0.3</v>
      </c>
      <c r="L12" s="791">
        <v>0.3</v>
      </c>
      <c r="M12" s="791">
        <v>3</v>
      </c>
      <c r="O12" s="860">
        <v>6</v>
      </c>
      <c r="P12" s="318">
        <v>0.18</v>
      </c>
      <c r="Q12" s="318">
        <v>0.18</v>
      </c>
      <c r="R12" s="318">
        <v>0.18</v>
      </c>
      <c r="S12" s="318">
        <v>0.18</v>
      </c>
      <c r="T12" s="318">
        <v>1.5</v>
      </c>
      <c r="U12" s="318">
        <v>0.25</v>
      </c>
      <c r="V12" s="318">
        <v>0.25</v>
      </c>
      <c r="W12" s="318">
        <v>0.25</v>
      </c>
      <c r="X12" s="861">
        <v>3</v>
      </c>
    </row>
    <row r="13" spans="1:24">
      <c r="B13" s="5" t="s">
        <v>45</v>
      </c>
      <c r="C13" s="72"/>
      <c r="D13" s="6" t="s">
        <v>9</v>
      </c>
      <c r="E13">
        <v>9</v>
      </c>
      <c r="F13" s="792" t="s">
        <v>46</v>
      </c>
      <c r="G13" s="793"/>
      <c r="H13" s="791">
        <v>0.18</v>
      </c>
      <c r="I13" s="791">
        <v>0.18</v>
      </c>
      <c r="J13" s="791">
        <v>1.9</v>
      </c>
      <c r="K13" s="791">
        <v>0.3</v>
      </c>
      <c r="L13" s="791">
        <v>0.3</v>
      </c>
      <c r="M13" s="791">
        <v>3</v>
      </c>
      <c r="O13" s="862">
        <v>7</v>
      </c>
      <c r="P13" s="863">
        <v>0.18</v>
      </c>
      <c r="Q13" s="863">
        <v>0.18</v>
      </c>
      <c r="R13" s="863">
        <v>0.18</v>
      </c>
      <c r="S13" s="863">
        <v>0.18</v>
      </c>
      <c r="T13" s="863">
        <v>1.5</v>
      </c>
      <c r="U13" s="863">
        <v>0.25</v>
      </c>
      <c r="V13" s="863">
        <v>0.25</v>
      </c>
      <c r="W13" s="863">
        <v>0.25</v>
      </c>
      <c r="X13" s="864">
        <v>3</v>
      </c>
    </row>
    <row r="14" spans="1:24">
      <c r="B14" s="7" t="s">
        <v>47</v>
      </c>
      <c r="C14" s="73"/>
      <c r="D14" s="10" t="s">
        <v>9</v>
      </c>
      <c r="E14">
        <v>10</v>
      </c>
      <c r="F14" s="792" t="s">
        <v>48</v>
      </c>
      <c r="G14" s="793"/>
      <c r="H14" s="791">
        <v>0.18</v>
      </c>
      <c r="I14" s="791">
        <v>0.18</v>
      </c>
      <c r="J14" s="791">
        <v>1.9</v>
      </c>
      <c r="K14" s="791">
        <v>0.3</v>
      </c>
      <c r="L14" s="791">
        <v>0.3</v>
      </c>
      <c r="M14" s="791">
        <v>3</v>
      </c>
    </row>
    <row r="15" spans="1:24" ht="13.5" thickBot="1">
      <c r="B15" s="8" t="s">
        <v>49</v>
      </c>
      <c r="C15" s="74"/>
      <c r="D15" s="11" t="s">
        <v>9</v>
      </c>
    </row>
    <row r="16" spans="1:24">
      <c r="B16" s="5" t="s">
        <v>50</v>
      </c>
      <c r="C16" s="72"/>
      <c r="D16" s="6" t="s">
        <v>9</v>
      </c>
    </row>
    <row r="17" spans="2:22">
      <c r="B17" s="7" t="s">
        <v>52</v>
      </c>
      <c r="C17" s="73"/>
      <c r="D17" s="10" t="s">
        <v>9</v>
      </c>
    </row>
    <row r="18" spans="2:22" ht="13.5" thickBot="1">
      <c r="B18" s="8" t="s">
        <v>54</v>
      </c>
      <c r="C18" s="74"/>
      <c r="D18" s="11" t="s">
        <v>9</v>
      </c>
    </row>
    <row r="19" spans="2:22">
      <c r="B19" s="5" t="s">
        <v>56</v>
      </c>
      <c r="C19" s="72"/>
      <c r="D19" s="6" t="s">
        <v>9</v>
      </c>
    </row>
    <row r="20" spans="2:22" ht="13.5" thickBot="1">
      <c r="B20" s="8" t="s">
        <v>57</v>
      </c>
      <c r="C20" s="74"/>
      <c r="D20" s="11" t="s">
        <v>9</v>
      </c>
    </row>
    <row r="24" spans="2:22" s="23" customFormat="1">
      <c r="B24" s="652" t="s">
        <v>58</v>
      </c>
      <c r="P24" s="24"/>
      <c r="Q24" s="24"/>
      <c r="R24" s="24"/>
      <c r="S24" s="24"/>
      <c r="T24" s="24"/>
    </row>
    <row r="25" spans="2:22" s="23" customFormat="1">
      <c r="B25" s="25" t="s">
        <v>59</v>
      </c>
      <c r="P25" s="24"/>
      <c r="Q25" s="24"/>
      <c r="R25" s="24"/>
      <c r="S25" s="24"/>
      <c r="T25" s="24"/>
    </row>
    <row r="26" spans="2:22">
      <c r="O26" s="1553"/>
      <c r="P26" s="1553"/>
      <c r="Q26" s="1553"/>
      <c r="R26" s="1553"/>
      <c r="S26" s="1553"/>
      <c r="T26" s="1553"/>
      <c r="U26" s="1553"/>
      <c r="V26" s="1553"/>
    </row>
    <row r="27" spans="2:22" ht="12.6" customHeight="1">
      <c r="B27" s="1077" t="s">
        <v>60</v>
      </c>
      <c r="C27" s="1077"/>
      <c r="D27" s="1077"/>
      <c r="E27" s="1077"/>
      <c r="F27" s="1077"/>
      <c r="O27" s="1553"/>
    </row>
    <row r="28" spans="2:22">
      <c r="B28" s="1078" t="s">
        <v>61</v>
      </c>
      <c r="C28" s="1078"/>
      <c r="D28" s="1078"/>
      <c r="E28" s="1078"/>
      <c r="F28" s="1078"/>
      <c r="H28" s="1553"/>
      <c r="I28" s="1553"/>
      <c r="J28" s="1553"/>
      <c r="K28" s="1553"/>
      <c r="L28" s="1553"/>
      <c r="O28" s="1553"/>
    </row>
    <row r="29" spans="2:22">
      <c r="B29" s="1078" t="s">
        <v>62</v>
      </c>
      <c r="C29" s="1078"/>
      <c r="D29" s="1078"/>
      <c r="E29" s="1078"/>
      <c r="F29" s="1078"/>
      <c r="O29" s="1553"/>
    </row>
    <row r="30" spans="2:22">
      <c r="B30" s="1078" t="s">
        <v>63</v>
      </c>
      <c r="C30" s="1078"/>
      <c r="D30" s="1078"/>
      <c r="E30" s="1078"/>
      <c r="F30" s="1078"/>
      <c r="O30" s="1553"/>
    </row>
    <row r="31" spans="2:22" ht="13.5" thickBot="1">
      <c r="O31" s="1553"/>
    </row>
    <row r="32" spans="2:22" ht="13.5" thickBot="1">
      <c r="B32" s="94" t="s">
        <v>66</v>
      </c>
      <c r="C32" t="s">
        <v>113</v>
      </c>
      <c r="O32" s="1553"/>
    </row>
    <row r="33" spans="2:22" ht="13.5" thickBot="1">
      <c r="B33" s="94" t="s">
        <v>64</v>
      </c>
      <c r="C33" t="s">
        <v>114</v>
      </c>
      <c r="O33" s="1553"/>
    </row>
    <row r="34" spans="2:22" ht="13.5" thickBot="1">
      <c r="B34" s="94" t="s">
        <v>68</v>
      </c>
      <c r="O34" s="1553"/>
    </row>
    <row r="35" spans="2:22" ht="13.5" thickBot="1">
      <c r="B35" s="94" t="s">
        <v>115</v>
      </c>
      <c r="O35" s="1553"/>
    </row>
    <row r="36" spans="2:22" s="139" customFormat="1" ht="25.5" customHeight="1" thickBot="1">
      <c r="B36" s="94" t="s">
        <v>69</v>
      </c>
      <c r="C36" s="151" t="s">
        <v>70</v>
      </c>
      <c r="D36" s="58" t="s">
        <v>71</v>
      </c>
      <c r="E36" s="59" t="s">
        <v>72</v>
      </c>
      <c r="F36" s="57" t="s">
        <v>73</v>
      </c>
      <c r="H36" s="1059" t="s">
        <v>74</v>
      </c>
      <c r="I36" s="1059"/>
      <c r="J36" s="1059"/>
      <c r="K36" s="1059"/>
      <c r="L36" s="1059"/>
      <c r="O36" s="1553"/>
      <c r="P36" s="1"/>
      <c r="Q36" s="1"/>
      <c r="R36" s="1"/>
      <c r="S36" s="1"/>
      <c r="T36" s="1"/>
      <c r="U36"/>
      <c r="V36"/>
    </row>
    <row r="37" spans="2:22" ht="13.5" thickBot="1">
      <c r="B37" s="140" t="s">
        <v>75</v>
      </c>
      <c r="C37" s="141"/>
      <c r="D37" s="141"/>
      <c r="E37" s="142"/>
      <c r="F37" s="507">
        <v>0.12</v>
      </c>
      <c r="H37" s="1059"/>
      <c r="I37" s="1059"/>
      <c r="J37" s="1059"/>
      <c r="K37" s="1059"/>
      <c r="L37" s="1059"/>
    </row>
    <row r="38" spans="2:22">
      <c r="B38" s="86" t="s">
        <v>76</v>
      </c>
      <c r="C38" s="508">
        <v>0.2</v>
      </c>
      <c r="D38" s="509">
        <v>2400</v>
      </c>
      <c r="E38" s="510">
        <v>1.63</v>
      </c>
      <c r="F38" s="143">
        <f t="shared" ref="F38:F45" si="0">IFERROR(C38/E38,"")</f>
        <v>0.1226993865030675</v>
      </c>
      <c r="H38" s="1059"/>
      <c r="I38" s="1059"/>
      <c r="J38" s="1059"/>
      <c r="K38" s="1059"/>
      <c r="L38" s="1059"/>
    </row>
    <row r="39" spans="2:22">
      <c r="B39" s="84" t="s">
        <v>77</v>
      </c>
      <c r="C39" s="511">
        <v>0.1</v>
      </c>
      <c r="D39" s="512"/>
      <c r="E39" s="513">
        <v>0.04</v>
      </c>
      <c r="F39" s="144">
        <f t="shared" si="0"/>
        <v>2.5</v>
      </c>
      <c r="H39" s="1059"/>
      <c r="I39" s="1059"/>
      <c r="J39" s="1059"/>
      <c r="K39" s="1059"/>
      <c r="L39" s="1059"/>
    </row>
    <row r="40" spans="2:22">
      <c r="B40" s="84"/>
      <c r="C40" s="511"/>
      <c r="D40" s="512"/>
      <c r="E40" s="513"/>
      <c r="F40" s="144" t="str">
        <f t="shared" si="0"/>
        <v/>
      </c>
      <c r="H40" s="1059"/>
      <c r="I40" s="1059"/>
      <c r="J40" s="1059"/>
      <c r="K40" s="1059"/>
      <c r="L40" s="1059"/>
    </row>
    <row r="41" spans="2:22">
      <c r="B41" s="84"/>
      <c r="C41" s="511"/>
      <c r="D41" s="512"/>
      <c r="E41" s="513"/>
      <c r="F41" s="144" t="str">
        <f t="shared" si="0"/>
        <v/>
      </c>
      <c r="H41" s="1059"/>
      <c r="I41" s="1059"/>
      <c r="J41" s="1059"/>
      <c r="K41" s="1059"/>
      <c r="L41" s="1059"/>
    </row>
    <row r="42" spans="2:22">
      <c r="B42" s="84"/>
      <c r="C42" s="511"/>
      <c r="D42" s="512"/>
      <c r="E42" s="513"/>
      <c r="F42" s="144" t="str">
        <f t="shared" si="0"/>
        <v/>
      </c>
      <c r="H42" s="1059"/>
      <c r="I42" s="1059"/>
      <c r="J42" s="1059"/>
      <c r="K42" s="1059"/>
      <c r="L42" s="1059"/>
    </row>
    <row r="43" spans="2:22">
      <c r="B43" s="84"/>
      <c r="C43" s="511"/>
      <c r="D43" s="512"/>
      <c r="E43" s="513"/>
      <c r="F43" s="144" t="str">
        <f t="shared" si="0"/>
        <v/>
      </c>
      <c r="H43" s="1059"/>
      <c r="I43" s="1059"/>
      <c r="J43" s="1059"/>
      <c r="K43" s="1059"/>
      <c r="L43" s="1059"/>
    </row>
    <row r="44" spans="2:22">
      <c r="B44" s="84"/>
      <c r="C44" s="511"/>
      <c r="D44" s="512"/>
      <c r="E44" s="513"/>
      <c r="F44" s="144" t="str">
        <f t="shared" si="0"/>
        <v/>
      </c>
      <c r="H44" s="1059"/>
      <c r="I44" s="1059"/>
      <c r="J44" s="1059"/>
      <c r="K44" s="1059"/>
      <c r="L44" s="1059"/>
    </row>
    <row r="45" spans="2:22" ht="13.5" thickBot="1">
      <c r="B45" s="85"/>
      <c r="C45" s="514"/>
      <c r="D45" s="515"/>
      <c r="E45" s="516"/>
      <c r="F45" s="145" t="str">
        <f t="shared" si="0"/>
        <v/>
      </c>
    </row>
    <row r="46" spans="2:22" ht="13.5" thickBot="1">
      <c r="B46" s="140" t="s">
        <v>78</v>
      </c>
      <c r="C46" s="141"/>
      <c r="D46" s="141"/>
      <c r="E46" s="142"/>
      <c r="F46" s="517">
        <v>0.05</v>
      </c>
    </row>
    <row r="47" spans="2:22">
      <c r="B47" s="1554" t="s">
        <v>79</v>
      </c>
      <c r="C47" s="1555"/>
      <c r="D47" s="1555"/>
      <c r="E47" s="1556"/>
      <c r="F47" s="146">
        <f>SUM(F37:F46)</f>
        <v>2.7926993865030671</v>
      </c>
    </row>
    <row r="48" spans="2:22" ht="13.5" thickBot="1">
      <c r="B48" s="1557" t="s">
        <v>80</v>
      </c>
      <c r="C48" s="1558"/>
      <c r="D48" s="1558"/>
      <c r="E48" s="1559"/>
      <c r="F48" s="147">
        <f>1/F47</f>
        <v>0.35807649216844978</v>
      </c>
    </row>
    <row r="49" spans="2:20" ht="6" customHeight="1" thickBot="1">
      <c r="B49" s="867"/>
      <c r="C49" s="868"/>
      <c r="D49" s="868"/>
      <c r="E49" s="868"/>
      <c r="F49" s="869"/>
    </row>
    <row r="50" spans="2:20" s="14" customFormat="1" ht="61.5" customHeight="1" thickBot="1">
      <c r="B50" s="856" t="s">
        <v>97</v>
      </c>
      <c r="C50" s="865" t="s">
        <v>32</v>
      </c>
      <c r="D50" s="870" t="s">
        <v>102</v>
      </c>
      <c r="E50" s="865" t="s">
        <v>103</v>
      </c>
      <c r="F50" s="147" t="str" cm="1">
        <f t="array" ref="F50">_xlfn.IFS(F48&lt;=H50,"Cumple",F48&gt;H50,"No cumple")</f>
        <v>Cumple</v>
      </c>
      <c r="H50" s="883" cm="1">
        <f t="array" ref="H50">_xlfn.IFS(C50=$F$6,IF(D50=$H$4,HLOOKUP(E50,$H$5:$J$14,2,0),HLOOKUP(E50,$K$5:$M$14,2,0)),C50=$F$7,IF(D50=$H$4,HLOOKUP(E50,$H$5:$J$14,3,0),HLOOKUP(E50,$K$5:$M$14,3,0)),C50=$F$8,IF(D50=$H$4,HLOOKUP(E50,$H$5:$J$14,4,0),HLOOKUP(E50,$K$5:$M$14,4,0)),C50=$F$9,IF(D50=$H$4,HLOOKUP(E50,$H$5:$J$14,5,0),HLOOKUP(E50,$K$5:$M$14,5,0)),C50=$F$10,IF(D50=$H$4,HLOOKUP(E50,$H$5:$J$14,6,0),HLOOKUP(E50,$K$5:$M$14,6,0)),C50=$F$11,IF(D50=$H$4,HLOOKUP(E50,$H$5:$J$14,7,0),HLOOKUP(E50,$K$5:$M$14,7,0)),C50=$F$12,IF(D50=$H$4,HLOOKUP(E50,$H$5:$J$14,8,0),HLOOKUP(E50,$K$5:$M$14,8,0)),C50=$F$13,IF(D50=$H$4,HLOOKUP(E50,$H$5:$J$14,9,0),HLOOKUP(E50,$K$5:$M$14,9,0)),C50=$F$14,IF(D50=$H$4,HLOOKUP(E50,$H$5:$J$14,10,0),HLOOKUP(E50,$K$5:$M$14,10,0)))</f>
        <v>0.4</v>
      </c>
      <c r="I50" s="1059" t="s">
        <v>116</v>
      </c>
      <c r="J50" s="1059"/>
      <c r="K50" s="1059"/>
      <c r="L50" s="1059"/>
      <c r="M50"/>
      <c r="P50" s="15"/>
      <c r="Q50" s="15"/>
      <c r="R50" s="15"/>
      <c r="S50" s="15"/>
      <c r="T50" s="15"/>
    </row>
    <row r="52" spans="2:20" s="23" customFormat="1">
      <c r="B52" s="25" t="s">
        <v>81</v>
      </c>
      <c r="P52" s="24"/>
      <c r="Q52" s="24"/>
      <c r="R52" s="24"/>
      <c r="S52" s="24"/>
      <c r="T52" s="24"/>
    </row>
    <row r="54" spans="2:20" ht="12.6" customHeight="1">
      <c r="B54" s="1077" t="s">
        <v>82</v>
      </c>
      <c r="C54" s="1077"/>
      <c r="D54" s="1077"/>
      <c r="E54" s="1077"/>
      <c r="F54" s="1077"/>
    </row>
    <row r="55" spans="2:20" ht="12.6" customHeight="1">
      <c r="B55" s="1078" t="s">
        <v>83</v>
      </c>
      <c r="C55" s="1078"/>
      <c r="D55" s="1078"/>
      <c r="E55" s="1078"/>
      <c r="F55" s="1078"/>
      <c r="H55" s="1553"/>
      <c r="I55" s="1553"/>
      <c r="J55" s="1553"/>
      <c r="K55" s="1553"/>
      <c r="L55" s="1553"/>
    </row>
    <row r="56" spans="2:20" ht="12.6" customHeight="1">
      <c r="B56" s="1078" t="s">
        <v>84</v>
      </c>
      <c r="C56" s="1078"/>
      <c r="D56" s="1078"/>
      <c r="E56" s="1078"/>
      <c r="F56" s="1078"/>
    </row>
    <row r="57" spans="2:20" ht="12.6" customHeight="1">
      <c r="B57" s="1078" t="s">
        <v>85</v>
      </c>
      <c r="C57" s="1078"/>
      <c r="D57" s="1078"/>
      <c r="E57" s="1078"/>
      <c r="F57" s="1078"/>
    </row>
    <row r="58" spans="2:20" ht="13.5" thickBot="1"/>
    <row r="59" spans="2:20" ht="13.5" customHeight="1" thickBot="1">
      <c r="B59" s="1068" t="s">
        <v>86</v>
      </c>
      <c r="C59" s="1069"/>
      <c r="D59" s="1069"/>
      <c r="E59" s="1069"/>
      <c r="F59" s="1070"/>
      <c r="H59" s="1076" t="s">
        <v>74</v>
      </c>
      <c r="I59" s="1076"/>
      <c r="J59" s="1076"/>
      <c r="K59" s="1076"/>
      <c r="L59" s="1076"/>
    </row>
    <row r="60" spans="2:20" s="139" customFormat="1" ht="26.25" thickBot="1">
      <c r="B60" s="94" t="s">
        <v>69</v>
      </c>
      <c r="C60" s="151" t="s">
        <v>70</v>
      </c>
      <c r="D60" s="58" t="s">
        <v>71</v>
      </c>
      <c r="E60" s="59" t="s">
        <v>72</v>
      </c>
      <c r="F60" s="57" t="s">
        <v>73</v>
      </c>
      <c r="H60" s="1076"/>
      <c r="I60" s="1076"/>
      <c r="J60" s="1076"/>
      <c r="K60" s="1076"/>
      <c r="L60" s="1076"/>
    </row>
    <row r="61" spans="2:20" ht="13.5" thickBot="1">
      <c r="B61" s="140" t="s">
        <v>75</v>
      </c>
      <c r="C61" s="141"/>
      <c r="D61" s="141"/>
      <c r="E61" s="142"/>
      <c r="F61" s="507"/>
      <c r="H61" s="1076"/>
      <c r="I61" s="1076"/>
      <c r="J61" s="1076"/>
      <c r="K61" s="1076"/>
      <c r="L61" s="1076"/>
    </row>
    <row r="62" spans="2:20">
      <c r="B62" s="86"/>
      <c r="C62" s="508"/>
      <c r="D62" s="509"/>
      <c r="E62" s="510"/>
      <c r="F62" s="144" t="str">
        <f t="shared" ref="F62:F69" si="1">IFERROR(C62/E62,"")</f>
        <v/>
      </c>
      <c r="H62" s="1076"/>
      <c r="I62" s="1076"/>
      <c r="J62" s="1076"/>
      <c r="K62" s="1076"/>
      <c r="L62" s="1076"/>
    </row>
    <row r="63" spans="2:20">
      <c r="B63" s="84"/>
      <c r="C63" s="511"/>
      <c r="D63" s="512"/>
      <c r="E63" s="513"/>
      <c r="F63" s="144" t="str">
        <f t="shared" si="1"/>
        <v/>
      </c>
      <c r="H63" s="1076"/>
      <c r="I63" s="1076"/>
      <c r="J63" s="1076"/>
      <c r="K63" s="1076"/>
      <c r="L63" s="1076"/>
    </row>
    <row r="64" spans="2:20">
      <c r="B64" s="84"/>
      <c r="C64" s="511"/>
      <c r="D64" s="512"/>
      <c r="E64" s="513"/>
      <c r="F64" s="144" t="str">
        <f t="shared" si="1"/>
        <v/>
      </c>
      <c r="H64" s="1076"/>
      <c r="I64" s="1076"/>
      <c r="J64" s="1076"/>
      <c r="K64" s="1076"/>
      <c r="L64" s="1076"/>
    </row>
    <row r="65" spans="2:12">
      <c r="B65" s="84"/>
      <c r="C65" s="511"/>
      <c r="D65" s="512"/>
      <c r="E65" s="513"/>
      <c r="F65" s="144" t="str">
        <f t="shared" si="1"/>
        <v/>
      </c>
      <c r="H65" s="1076"/>
      <c r="I65" s="1076"/>
      <c r="J65" s="1076"/>
      <c r="K65" s="1076"/>
      <c r="L65" s="1076"/>
    </row>
    <row r="66" spans="2:12">
      <c r="B66" s="84"/>
      <c r="C66" s="511"/>
      <c r="D66" s="512"/>
      <c r="E66" s="513"/>
      <c r="F66" s="144" t="str">
        <f t="shared" si="1"/>
        <v/>
      </c>
      <c r="H66" s="1076"/>
      <c r="I66" s="1076"/>
      <c r="J66" s="1076"/>
      <c r="K66" s="1076"/>
      <c r="L66" s="1076"/>
    </row>
    <row r="67" spans="2:12">
      <c r="B67" s="84"/>
      <c r="C67" s="511"/>
      <c r="D67" s="512"/>
      <c r="E67" s="513"/>
      <c r="F67" s="144" t="str">
        <f t="shared" si="1"/>
        <v/>
      </c>
      <c r="H67" s="1076"/>
      <c r="I67" s="1076"/>
      <c r="J67" s="1076"/>
      <c r="K67" s="1076"/>
      <c r="L67" s="1076"/>
    </row>
    <row r="68" spans="2:12">
      <c r="B68" s="84"/>
      <c r="C68" s="511"/>
      <c r="D68" s="512"/>
      <c r="E68" s="513"/>
      <c r="F68" s="144" t="str">
        <f t="shared" si="1"/>
        <v/>
      </c>
    </row>
    <row r="69" spans="2:12" ht="13.5" thickBot="1">
      <c r="B69" s="85"/>
      <c r="C69" s="514"/>
      <c r="D69" s="515"/>
      <c r="E69" s="516"/>
      <c r="F69" s="145" t="str">
        <f t="shared" si="1"/>
        <v/>
      </c>
    </row>
    <row r="70" spans="2:12" ht="13.5" thickBot="1">
      <c r="B70" s="140" t="s">
        <v>78</v>
      </c>
      <c r="C70" s="141"/>
      <c r="D70" s="141"/>
      <c r="E70" s="142"/>
      <c r="F70" s="517"/>
    </row>
    <row r="71" spans="2:12">
      <c r="B71" s="1554" t="s">
        <v>79</v>
      </c>
      <c r="C71" s="1555"/>
      <c r="D71" s="1555"/>
      <c r="E71" s="1556"/>
      <c r="F71" s="146">
        <f>SUM(F61:F70)</f>
        <v>0</v>
      </c>
    </row>
    <row r="72" spans="2:12" ht="13.5" thickBot="1">
      <c r="B72" s="1560" t="s">
        <v>87</v>
      </c>
      <c r="C72" s="1561"/>
      <c r="D72" s="1561"/>
      <c r="E72" s="1562"/>
      <c r="F72" s="150" t="e">
        <f>1/F71</f>
        <v>#DIV/0!</v>
      </c>
    </row>
    <row r="73" spans="2:12" ht="13.5" thickBot="1"/>
    <row r="74" spans="2:12" ht="13.5" thickBot="1">
      <c r="B74" s="1068" t="s">
        <v>88</v>
      </c>
      <c r="C74" s="1069"/>
      <c r="D74" s="1069"/>
      <c r="E74" s="1069"/>
      <c r="F74" s="1070"/>
    </row>
    <row r="75" spans="2:12" s="139" customFormat="1" ht="26.25" thickBot="1">
      <c r="B75" s="94" t="s">
        <v>69</v>
      </c>
      <c r="C75" s="151" t="s">
        <v>70</v>
      </c>
      <c r="D75" s="58" t="s">
        <v>71</v>
      </c>
      <c r="E75" s="59" t="s">
        <v>72</v>
      </c>
      <c r="F75" s="57" t="s">
        <v>73</v>
      </c>
    </row>
    <row r="76" spans="2:12" ht="13.5" thickBot="1">
      <c r="B76" s="140" t="s">
        <v>75</v>
      </c>
      <c r="C76" s="141"/>
      <c r="D76" s="141"/>
      <c r="E76" s="142"/>
      <c r="F76" s="507"/>
    </row>
    <row r="77" spans="2:12">
      <c r="B77" s="86"/>
      <c r="C77" s="508"/>
      <c r="D77" s="509"/>
      <c r="E77" s="510"/>
      <c r="F77" s="143">
        <v>3.2051282051282053</v>
      </c>
    </row>
    <row r="78" spans="2:12">
      <c r="B78" s="84"/>
      <c r="C78" s="511"/>
      <c r="D78" s="512"/>
      <c r="E78" s="513"/>
      <c r="F78" s="144">
        <v>1.0416666666666667</v>
      </c>
    </row>
    <row r="79" spans="2:12">
      <c r="B79" s="84"/>
      <c r="C79" s="511"/>
      <c r="D79" s="512"/>
      <c r="E79" s="513"/>
      <c r="F79" s="144">
        <v>4.1666666666666671E-2</v>
      </c>
    </row>
    <row r="80" spans="2:12">
      <c r="B80" s="84"/>
      <c r="C80" s="511"/>
      <c r="D80" s="512"/>
      <c r="E80" s="513"/>
      <c r="F80" s="144">
        <v>4.1666666666666671E-2</v>
      </c>
    </row>
    <row r="81" spans="2:8">
      <c r="B81" s="84"/>
      <c r="C81" s="511"/>
      <c r="D81" s="512"/>
      <c r="E81" s="513"/>
      <c r="F81" s="144">
        <v>4.1666666666666671E-2</v>
      </c>
    </row>
    <row r="82" spans="2:8">
      <c r="B82" s="84"/>
      <c r="C82" s="511"/>
      <c r="D82" s="512"/>
      <c r="E82" s="513"/>
      <c r="F82" s="144" t="str">
        <f>IFERROR(C82/E82,"")</f>
        <v/>
      </c>
    </row>
    <row r="83" spans="2:8">
      <c r="B83" s="84"/>
      <c r="C83" s="511"/>
      <c r="D83" s="512"/>
      <c r="E83" s="513"/>
      <c r="F83" s="144" t="str">
        <f>IFERROR(C83/E83,"")</f>
        <v/>
      </c>
    </row>
    <row r="84" spans="2:8" ht="13.5" thickBot="1">
      <c r="B84" s="85"/>
      <c r="C84" s="514"/>
      <c r="D84" s="515"/>
      <c r="E84" s="516"/>
      <c r="F84" s="145" t="str">
        <f>IFERROR(C84/E84,"")</f>
        <v/>
      </c>
    </row>
    <row r="85" spans="2:8" ht="13.5" thickBot="1">
      <c r="B85" s="140" t="s">
        <v>78</v>
      </c>
      <c r="C85" s="141"/>
      <c r="D85" s="141"/>
      <c r="E85" s="142"/>
      <c r="F85" s="517"/>
    </row>
    <row r="86" spans="2:8">
      <c r="B86" s="1554" t="s">
        <v>79</v>
      </c>
      <c r="C86" s="1555"/>
      <c r="D86" s="1555"/>
      <c r="E86" s="1556"/>
      <c r="F86" s="146">
        <f>SUM(F76:F85)</f>
        <v>4.3717948717948731</v>
      </c>
    </row>
    <row r="87" spans="2:8" ht="13.5" thickBot="1">
      <c r="B87" s="1560" t="s">
        <v>89</v>
      </c>
      <c r="C87" s="1561"/>
      <c r="D87" s="1561"/>
      <c r="E87" s="1562"/>
      <c r="F87" s="150">
        <f>1/F86</f>
        <v>0.22873900293255126</v>
      </c>
    </row>
    <row r="88" spans="2:8" ht="13.5" thickBot="1"/>
    <row r="89" spans="2:8" ht="13.5" thickBot="1">
      <c r="B89" s="1074" t="s">
        <v>90</v>
      </c>
      <c r="C89" s="1074"/>
      <c r="D89" s="1074"/>
      <c r="E89" s="1074"/>
      <c r="F89" s="1074"/>
    </row>
    <row r="90" spans="2:8" s="139" customFormat="1" ht="26.85" customHeight="1" thickBot="1">
      <c r="B90" s="94" t="s">
        <v>91</v>
      </c>
      <c r="C90" s="1075" t="s">
        <v>92</v>
      </c>
      <c r="D90" s="1075"/>
      <c r="E90" s="1075" t="s">
        <v>93</v>
      </c>
      <c r="F90" s="1075"/>
    </row>
    <row r="91" spans="2:8">
      <c r="B91" s="92" t="s">
        <v>94</v>
      </c>
      <c r="C91" s="1066"/>
      <c r="D91" s="1066"/>
      <c r="E91" s="1067" t="e">
        <f>F72*C91</f>
        <v>#DIV/0!</v>
      </c>
      <c r="F91" s="1067"/>
    </row>
    <row r="92" spans="2:8" ht="13.5" thickBot="1">
      <c r="B92" s="91" t="s">
        <v>95</v>
      </c>
      <c r="C92" s="1060">
        <f>1-C91</f>
        <v>1</v>
      </c>
      <c r="D92" s="1060"/>
      <c r="E92" s="1061">
        <f>F87*C92</f>
        <v>0.22873900293255126</v>
      </c>
      <c r="F92" s="1061"/>
    </row>
    <row r="93" spans="2:8" ht="13.5" thickBot="1">
      <c r="B93" s="1062" t="s">
        <v>96</v>
      </c>
      <c r="C93" s="1062"/>
      <c r="D93" s="1062"/>
      <c r="E93" s="858" t="e">
        <f>SUM(E91:F92)</f>
        <v>#DIV/0!</v>
      </c>
      <c r="F93" s="859"/>
    </row>
    <row r="94" spans="2:8" ht="58.5" customHeight="1" thickBot="1">
      <c r="B94" s="856" t="s">
        <v>97</v>
      </c>
      <c r="C94" s="865" t="s">
        <v>34</v>
      </c>
      <c r="D94" s="870" t="s">
        <v>98</v>
      </c>
      <c r="E94" s="865" t="s">
        <v>99</v>
      </c>
      <c r="F94" s="147" t="e" cm="1">
        <f t="array" ref="F94">_xlfn.IFS(E93&lt;=H94,"Cumple",E93&gt;H94,"No cumple")</f>
        <v>#DIV/0!</v>
      </c>
      <c r="G94" s="14"/>
      <c r="H94" s="857" cm="1">
        <f t="array" ref="H94">_xlfn.IFS(C94=$F$6,IF(D94=$H$4,HLOOKUP(E94,$H$5:$J$14,2,0),HLOOKUP(E94,$K$5:$M$14,2,0)),C94=$F$7,IF(D94=$H$4,HLOOKUP(E94,$H$5:$J$14,3,0),HLOOKUP(E94,$K$5:$M$14,3,0)),C94=$F$8,IF(D94=$H$4,HLOOKUP(E94,$H$5:$J$14,4,0),HLOOKUP(E94,$K$5:$M$14,4,0)),C94=$F$9,IF(D94=$H$4,HLOOKUP(E94,$H$5:$J$14,5,0),HLOOKUP(E94,$K$5:$M$14,5,0)),C94=$F$10,IF(D94=$H$4,HLOOKUP(E94,$H$5:$J$14,6,0),HLOOKUP(E94,$K$5:$M$14,6,0)),C94=$F$11,IF(D94=$H$4,HLOOKUP(E94,$H$5:$J$14,7,0),HLOOKUP(E94,$K$5:$M$14,7,0)),C94=$F$12,IF(D94=$H$4,HLOOKUP(E94,$H$5:$J$14,8,0),HLOOKUP(E94,$K$5:$M$14,8,0)),C94=$F$13,IF(D94=$H$4,HLOOKUP(E94,$H$5:$J$14,9,0),HLOOKUP(E94,$K$5:$M$14,9,0)),C94=$F$14,IF(D94=$H$4,HLOOKUP(E94,$H$5:$J$14,10,0),HLOOKUP(E94,$K$5:$M$14,10,0)))</f>
        <v>0.6</v>
      </c>
    </row>
    <row r="95" spans="2:8" ht="13.5" thickBot="1"/>
    <row r="96" spans="2:8" ht="13.5" thickBot="1">
      <c r="B96" s="1068" t="s">
        <v>86</v>
      </c>
      <c r="C96" s="1069"/>
      <c r="D96" s="1069"/>
      <c r="E96" s="1069"/>
      <c r="F96" s="1070"/>
    </row>
    <row r="97" spans="2:6" ht="26.25" thickBot="1">
      <c r="B97" s="94" t="s">
        <v>69</v>
      </c>
      <c r="C97" s="151" t="s">
        <v>70</v>
      </c>
      <c r="D97" s="58" t="s">
        <v>71</v>
      </c>
      <c r="E97" s="59" t="s">
        <v>72</v>
      </c>
      <c r="F97" s="57" t="s">
        <v>73</v>
      </c>
    </row>
    <row r="98" spans="2:6" ht="13.5" thickBot="1">
      <c r="B98" s="140" t="s">
        <v>75</v>
      </c>
      <c r="C98" s="141"/>
      <c r="D98" s="141"/>
      <c r="E98" s="142"/>
      <c r="F98" s="507"/>
    </row>
    <row r="99" spans="2:6">
      <c r="B99" s="86"/>
      <c r="C99" s="508"/>
      <c r="D99" s="509"/>
      <c r="E99" s="510"/>
      <c r="F99" s="144" t="str">
        <f t="shared" ref="F99:F106" si="2">IFERROR(C99/E99,"")</f>
        <v/>
      </c>
    </row>
    <row r="100" spans="2:6">
      <c r="B100" s="84"/>
      <c r="C100" s="511"/>
      <c r="D100" s="512"/>
      <c r="E100" s="513"/>
      <c r="F100" s="144" t="str">
        <f t="shared" si="2"/>
        <v/>
      </c>
    </row>
    <row r="101" spans="2:6">
      <c r="B101" s="84"/>
      <c r="C101" s="511"/>
      <c r="D101" s="512"/>
      <c r="E101" s="513"/>
      <c r="F101" s="144" t="str">
        <f t="shared" si="2"/>
        <v/>
      </c>
    </row>
    <row r="102" spans="2:6">
      <c r="B102" s="84"/>
      <c r="C102" s="511"/>
      <c r="D102" s="512"/>
      <c r="E102" s="513"/>
      <c r="F102" s="144" t="str">
        <f t="shared" si="2"/>
        <v/>
      </c>
    </row>
    <row r="103" spans="2:6">
      <c r="B103" s="84"/>
      <c r="C103" s="511"/>
      <c r="D103" s="512"/>
      <c r="E103" s="513"/>
      <c r="F103" s="144" t="str">
        <f t="shared" si="2"/>
        <v/>
      </c>
    </row>
    <row r="104" spans="2:6">
      <c r="B104" s="84"/>
      <c r="C104" s="511"/>
      <c r="D104" s="512"/>
      <c r="E104" s="513"/>
      <c r="F104" s="144" t="str">
        <f t="shared" si="2"/>
        <v/>
      </c>
    </row>
    <row r="105" spans="2:6">
      <c r="B105" s="84"/>
      <c r="C105" s="511"/>
      <c r="D105" s="512"/>
      <c r="E105" s="513"/>
      <c r="F105" s="144" t="str">
        <f t="shared" si="2"/>
        <v/>
      </c>
    </row>
    <row r="106" spans="2:6" ht="13.5" thickBot="1">
      <c r="B106" s="85"/>
      <c r="C106" s="514"/>
      <c r="D106" s="515"/>
      <c r="E106" s="516"/>
      <c r="F106" s="145" t="str">
        <f t="shared" si="2"/>
        <v/>
      </c>
    </row>
    <row r="107" spans="2:6" ht="13.5" thickBot="1">
      <c r="B107" s="140" t="s">
        <v>78</v>
      </c>
      <c r="C107" s="141"/>
      <c r="D107" s="141"/>
      <c r="E107" s="142"/>
      <c r="F107" s="517"/>
    </row>
    <row r="108" spans="2:6">
      <c r="B108" s="1554" t="s">
        <v>79</v>
      </c>
      <c r="C108" s="1555"/>
      <c r="D108" s="1555"/>
      <c r="E108" s="1556"/>
      <c r="F108" s="146">
        <f>SUM(F98:F107)</f>
        <v>0</v>
      </c>
    </row>
    <row r="109" spans="2:6" ht="13.5" thickBot="1">
      <c r="B109" s="1560" t="s">
        <v>87</v>
      </c>
      <c r="C109" s="1561"/>
      <c r="D109" s="1561"/>
      <c r="E109" s="1562"/>
      <c r="F109" s="150" t="e">
        <f>1/F108</f>
        <v>#DIV/0!</v>
      </c>
    </row>
    <row r="110" spans="2:6" ht="13.5" thickBot="1"/>
    <row r="111" spans="2:6" ht="13.5" thickBot="1">
      <c r="B111" s="1068" t="s">
        <v>88</v>
      </c>
      <c r="C111" s="1069"/>
      <c r="D111" s="1069"/>
      <c r="E111" s="1069"/>
      <c r="F111" s="1070"/>
    </row>
    <row r="112" spans="2:6" ht="26.25" thickBot="1">
      <c r="B112" s="94" t="s">
        <v>69</v>
      </c>
      <c r="C112" s="151" t="s">
        <v>70</v>
      </c>
      <c r="D112" s="58" t="s">
        <v>71</v>
      </c>
      <c r="E112" s="59" t="s">
        <v>72</v>
      </c>
      <c r="F112" s="57" t="s">
        <v>73</v>
      </c>
    </row>
    <row r="113" spans="2:6" ht="13.5" thickBot="1">
      <c r="B113" s="140" t="s">
        <v>75</v>
      </c>
      <c r="C113" s="141"/>
      <c r="D113" s="141"/>
      <c r="E113" s="142"/>
      <c r="F113" s="507"/>
    </row>
    <row r="114" spans="2:6">
      <c r="B114" s="86"/>
      <c r="C114" s="508"/>
      <c r="D114" s="509"/>
      <c r="E114" s="510"/>
      <c r="F114" s="143">
        <v>3.2051282051282053</v>
      </c>
    </row>
    <row r="115" spans="2:6">
      <c r="B115" s="84"/>
      <c r="C115" s="511"/>
      <c r="D115" s="512"/>
      <c r="E115" s="513"/>
      <c r="F115" s="144">
        <v>1.0416666666666667</v>
      </c>
    </row>
    <row r="116" spans="2:6">
      <c r="B116" s="84"/>
      <c r="C116" s="511"/>
      <c r="D116" s="512"/>
      <c r="E116" s="513"/>
      <c r="F116" s="144">
        <v>4.1666666666666671E-2</v>
      </c>
    </row>
    <row r="117" spans="2:6">
      <c r="B117" s="84"/>
      <c r="C117" s="511"/>
      <c r="D117" s="512"/>
      <c r="E117" s="513"/>
      <c r="F117" s="144">
        <v>4.1666666666666671E-2</v>
      </c>
    </row>
    <row r="118" spans="2:6">
      <c r="B118" s="84"/>
      <c r="C118" s="511"/>
      <c r="D118" s="512"/>
      <c r="E118" s="513"/>
      <c r="F118" s="144">
        <v>4.1666666666666671E-2</v>
      </c>
    </row>
    <row r="119" spans="2:6">
      <c r="B119" s="84"/>
      <c r="C119" s="511"/>
      <c r="D119" s="512"/>
      <c r="E119" s="513"/>
      <c r="F119" s="144" t="str">
        <f>IFERROR(C119/E119,"")</f>
        <v/>
      </c>
    </row>
    <row r="120" spans="2:6">
      <c r="B120" s="84"/>
      <c r="C120" s="511"/>
      <c r="D120" s="512"/>
      <c r="E120" s="513"/>
      <c r="F120" s="144" t="str">
        <f>IFERROR(C120/E120,"")</f>
        <v/>
      </c>
    </row>
    <row r="121" spans="2:6" ht="13.5" thickBot="1">
      <c r="B121" s="85"/>
      <c r="C121" s="514"/>
      <c r="D121" s="515"/>
      <c r="E121" s="516"/>
      <c r="F121" s="145" t="str">
        <f>IFERROR(C121/E121,"")</f>
        <v/>
      </c>
    </row>
    <row r="122" spans="2:6" ht="13.5" thickBot="1">
      <c r="B122" s="140" t="s">
        <v>78</v>
      </c>
      <c r="C122" s="141"/>
      <c r="D122" s="141"/>
      <c r="E122" s="142"/>
      <c r="F122" s="517"/>
    </row>
    <row r="123" spans="2:6">
      <c r="B123" s="1554" t="s">
        <v>79</v>
      </c>
      <c r="C123" s="1555"/>
      <c r="D123" s="1555"/>
      <c r="E123" s="1556"/>
      <c r="F123" s="146">
        <f>SUM(F113:F122)</f>
        <v>4.3717948717948731</v>
      </c>
    </row>
    <row r="124" spans="2:6" ht="13.5" thickBot="1">
      <c r="B124" s="1560" t="s">
        <v>89</v>
      </c>
      <c r="C124" s="1561"/>
      <c r="D124" s="1561"/>
      <c r="E124" s="1562"/>
      <c r="F124" s="150">
        <f>1/F123</f>
        <v>0.22873900293255126</v>
      </c>
    </row>
    <row r="125" spans="2:6" ht="13.5" thickBot="1"/>
    <row r="126" spans="2:6" ht="13.5" thickBot="1">
      <c r="B126" s="1074" t="s">
        <v>90</v>
      </c>
      <c r="C126" s="1074"/>
      <c r="D126" s="1074"/>
      <c r="E126" s="1074"/>
      <c r="F126" s="1074"/>
    </row>
    <row r="127" spans="2:6" ht="13.5" thickBot="1">
      <c r="B127" s="94" t="s">
        <v>91</v>
      </c>
      <c r="C127" s="1075" t="s">
        <v>92</v>
      </c>
      <c r="D127" s="1075"/>
      <c r="E127" s="1075" t="s">
        <v>93</v>
      </c>
      <c r="F127" s="1075"/>
    </row>
    <row r="128" spans="2:6">
      <c r="B128" s="92" t="s">
        <v>94</v>
      </c>
      <c r="C128" s="1066"/>
      <c r="D128" s="1066"/>
      <c r="E128" s="1067" t="e">
        <f>F109*C128</f>
        <v>#DIV/0!</v>
      </c>
      <c r="F128" s="1067"/>
    </row>
    <row r="129" spans="2:6" ht="13.5" thickBot="1">
      <c r="B129" s="91" t="s">
        <v>95</v>
      </c>
      <c r="C129" s="1060">
        <f>1-C128</f>
        <v>1</v>
      </c>
      <c r="D129" s="1060"/>
      <c r="E129" s="1061">
        <f>F124*C129</f>
        <v>0.22873900293255126</v>
      </c>
      <c r="F129" s="1061"/>
    </row>
    <row r="130" spans="2:6" ht="13.5" thickBot="1">
      <c r="B130" s="1062" t="s">
        <v>96</v>
      </c>
      <c r="C130" s="1062"/>
      <c r="D130" s="1062"/>
      <c r="E130" s="1063" t="e">
        <f>SUM(E128:F129)</f>
        <v>#DIV/0!</v>
      </c>
      <c r="F130" s="1064"/>
    </row>
    <row r="132" spans="2:6" ht="13.5" thickBot="1"/>
    <row r="133" spans="2:6" ht="13.5" thickBot="1">
      <c r="B133" s="1068" t="s">
        <v>86</v>
      </c>
      <c r="C133" s="1069"/>
      <c r="D133" s="1069"/>
      <c r="E133" s="1069"/>
      <c r="F133" s="1070"/>
    </row>
    <row r="134" spans="2:6" ht="26.25" thickBot="1">
      <c r="B134" s="94" t="s">
        <v>69</v>
      </c>
      <c r="C134" s="151" t="s">
        <v>70</v>
      </c>
      <c r="D134" s="58" t="s">
        <v>71</v>
      </c>
      <c r="E134" s="59" t="s">
        <v>72</v>
      </c>
      <c r="F134" s="57" t="s">
        <v>73</v>
      </c>
    </row>
    <row r="135" spans="2:6" ht="13.5" thickBot="1">
      <c r="B135" s="140" t="s">
        <v>75</v>
      </c>
      <c r="C135" s="141"/>
      <c r="D135" s="141"/>
      <c r="E135" s="142"/>
      <c r="F135" s="507"/>
    </row>
    <row r="136" spans="2:6">
      <c r="B136" s="86"/>
      <c r="C136" s="508"/>
      <c r="D136" s="509"/>
      <c r="E136" s="510"/>
      <c r="F136" s="144" t="str">
        <f t="shared" ref="F136:F143" si="3">IFERROR(C136/E136,"")</f>
        <v/>
      </c>
    </row>
    <row r="137" spans="2:6">
      <c r="B137" s="84"/>
      <c r="C137" s="511"/>
      <c r="D137" s="512"/>
      <c r="E137" s="513"/>
      <c r="F137" s="144" t="str">
        <f t="shared" si="3"/>
        <v/>
      </c>
    </row>
    <row r="138" spans="2:6">
      <c r="B138" s="84"/>
      <c r="C138" s="511"/>
      <c r="D138" s="512"/>
      <c r="E138" s="513"/>
      <c r="F138" s="144" t="str">
        <f t="shared" si="3"/>
        <v/>
      </c>
    </row>
    <row r="139" spans="2:6">
      <c r="B139" s="84"/>
      <c r="C139" s="511"/>
      <c r="D139" s="512"/>
      <c r="E139" s="513"/>
      <c r="F139" s="144" t="str">
        <f t="shared" si="3"/>
        <v/>
      </c>
    </row>
    <row r="140" spans="2:6">
      <c r="B140" s="84"/>
      <c r="C140" s="511"/>
      <c r="D140" s="512"/>
      <c r="E140" s="513"/>
      <c r="F140" s="144" t="str">
        <f t="shared" si="3"/>
        <v/>
      </c>
    </row>
    <row r="141" spans="2:6">
      <c r="B141" s="84"/>
      <c r="C141" s="511"/>
      <c r="D141" s="512"/>
      <c r="E141" s="513"/>
      <c r="F141" s="144" t="str">
        <f t="shared" si="3"/>
        <v/>
      </c>
    </row>
    <row r="142" spans="2:6">
      <c r="B142" s="84"/>
      <c r="C142" s="511"/>
      <c r="D142" s="512"/>
      <c r="E142" s="513"/>
      <c r="F142" s="144" t="str">
        <f t="shared" si="3"/>
        <v/>
      </c>
    </row>
    <row r="143" spans="2:6" ht="13.5" thickBot="1">
      <c r="B143" s="85"/>
      <c r="C143" s="514"/>
      <c r="D143" s="515"/>
      <c r="E143" s="516"/>
      <c r="F143" s="145" t="str">
        <f t="shared" si="3"/>
        <v/>
      </c>
    </row>
    <row r="144" spans="2:6" ht="13.5" thickBot="1">
      <c r="B144" s="140" t="s">
        <v>78</v>
      </c>
      <c r="C144" s="141"/>
      <c r="D144" s="141"/>
      <c r="E144" s="142"/>
      <c r="F144" s="517"/>
    </row>
    <row r="145" spans="2:6">
      <c r="B145" s="1554" t="s">
        <v>79</v>
      </c>
      <c r="C145" s="1555"/>
      <c r="D145" s="1555"/>
      <c r="E145" s="1556"/>
      <c r="F145" s="146">
        <f>SUM(F135:F144)</f>
        <v>0</v>
      </c>
    </row>
    <row r="146" spans="2:6" ht="13.5" thickBot="1">
      <c r="B146" s="1560" t="s">
        <v>87</v>
      </c>
      <c r="C146" s="1561"/>
      <c r="D146" s="1561"/>
      <c r="E146" s="1562"/>
      <c r="F146" s="150" t="e">
        <f>1/F145</f>
        <v>#DIV/0!</v>
      </c>
    </row>
    <row r="147" spans="2:6" ht="13.5" thickBot="1"/>
    <row r="148" spans="2:6" ht="13.5" thickBot="1">
      <c r="B148" s="1068" t="s">
        <v>88</v>
      </c>
      <c r="C148" s="1069"/>
      <c r="D148" s="1069"/>
      <c r="E148" s="1069"/>
      <c r="F148" s="1070"/>
    </row>
    <row r="149" spans="2:6" ht="26.25" thickBot="1">
      <c r="B149" s="94" t="s">
        <v>69</v>
      </c>
      <c r="C149" s="151" t="s">
        <v>70</v>
      </c>
      <c r="D149" s="58" t="s">
        <v>71</v>
      </c>
      <c r="E149" s="59" t="s">
        <v>72</v>
      </c>
      <c r="F149" s="57" t="s">
        <v>73</v>
      </c>
    </row>
    <row r="150" spans="2:6" ht="13.5" thickBot="1">
      <c r="B150" s="140" t="s">
        <v>75</v>
      </c>
      <c r="C150" s="141"/>
      <c r="D150" s="141"/>
      <c r="E150" s="142"/>
      <c r="F150" s="507"/>
    </row>
    <row r="151" spans="2:6">
      <c r="B151" s="86"/>
      <c r="C151" s="508"/>
      <c r="D151" s="509"/>
      <c r="E151" s="510"/>
      <c r="F151" s="143">
        <v>3.2051282051282053</v>
      </c>
    </row>
    <row r="152" spans="2:6">
      <c r="B152" s="84"/>
      <c r="C152" s="511"/>
      <c r="D152" s="512"/>
      <c r="E152" s="513"/>
      <c r="F152" s="144">
        <v>1.0416666666666667</v>
      </c>
    </row>
    <row r="153" spans="2:6">
      <c r="B153" s="84"/>
      <c r="C153" s="511"/>
      <c r="D153" s="512"/>
      <c r="E153" s="513"/>
      <c r="F153" s="144">
        <v>4.1666666666666671E-2</v>
      </c>
    </row>
    <row r="154" spans="2:6">
      <c r="B154" s="84"/>
      <c r="C154" s="511"/>
      <c r="D154" s="512"/>
      <c r="E154" s="513"/>
      <c r="F154" s="144">
        <v>4.1666666666666671E-2</v>
      </c>
    </row>
    <row r="155" spans="2:6">
      <c r="B155" s="84"/>
      <c r="C155" s="511"/>
      <c r="D155" s="512"/>
      <c r="E155" s="513"/>
      <c r="F155" s="144">
        <v>4.1666666666666671E-2</v>
      </c>
    </row>
    <row r="156" spans="2:6">
      <c r="B156" s="84"/>
      <c r="C156" s="511"/>
      <c r="D156" s="512"/>
      <c r="E156" s="513"/>
      <c r="F156" s="144" t="str">
        <f>IFERROR(C156/E156,"")</f>
        <v/>
      </c>
    </row>
    <row r="157" spans="2:6">
      <c r="B157" s="84"/>
      <c r="C157" s="511"/>
      <c r="D157" s="512"/>
      <c r="E157" s="513"/>
      <c r="F157" s="144" t="str">
        <f>IFERROR(C157/E157,"")</f>
        <v/>
      </c>
    </row>
    <row r="158" spans="2:6" ht="13.5" thickBot="1">
      <c r="B158" s="85"/>
      <c r="C158" s="514"/>
      <c r="D158" s="515"/>
      <c r="E158" s="516"/>
      <c r="F158" s="145" t="str">
        <f>IFERROR(C158/E158,"")</f>
        <v/>
      </c>
    </row>
    <row r="159" spans="2:6" ht="13.5" thickBot="1">
      <c r="B159" s="140" t="s">
        <v>78</v>
      </c>
      <c r="C159" s="141"/>
      <c r="D159" s="141"/>
      <c r="E159" s="142"/>
      <c r="F159" s="517"/>
    </row>
    <row r="160" spans="2:6">
      <c r="B160" s="1554" t="s">
        <v>79</v>
      </c>
      <c r="C160" s="1555"/>
      <c r="D160" s="1555"/>
      <c r="E160" s="1556"/>
      <c r="F160" s="146">
        <f>SUM(F150:F159)</f>
        <v>4.3717948717948731</v>
      </c>
    </row>
    <row r="161" spans="2:6" ht="13.5" thickBot="1">
      <c r="B161" s="1560" t="s">
        <v>89</v>
      </c>
      <c r="C161" s="1561"/>
      <c r="D161" s="1561"/>
      <c r="E161" s="1562"/>
      <c r="F161" s="150">
        <f>1/F160</f>
        <v>0.22873900293255126</v>
      </c>
    </row>
    <row r="162" spans="2:6" ht="13.5" thickBot="1"/>
    <row r="163" spans="2:6" ht="13.5" thickBot="1">
      <c r="B163" s="1074" t="s">
        <v>90</v>
      </c>
      <c r="C163" s="1074"/>
      <c r="D163" s="1074"/>
      <c r="E163" s="1074"/>
      <c r="F163" s="1074"/>
    </row>
    <row r="164" spans="2:6" ht="13.5" thickBot="1">
      <c r="B164" s="94" t="s">
        <v>91</v>
      </c>
      <c r="C164" s="1075" t="s">
        <v>92</v>
      </c>
      <c r="D164" s="1075"/>
      <c r="E164" s="1075" t="s">
        <v>93</v>
      </c>
      <c r="F164" s="1075"/>
    </row>
    <row r="165" spans="2:6">
      <c r="B165" s="92" t="s">
        <v>94</v>
      </c>
      <c r="C165" s="1066"/>
      <c r="D165" s="1066"/>
      <c r="E165" s="1067" t="e">
        <f>F146*C165</f>
        <v>#DIV/0!</v>
      </c>
      <c r="F165" s="1067"/>
    </row>
    <row r="166" spans="2:6" ht="13.5" thickBot="1">
      <c r="B166" s="91" t="s">
        <v>95</v>
      </c>
      <c r="C166" s="1060">
        <f>1-C165</f>
        <v>1</v>
      </c>
      <c r="D166" s="1060"/>
      <c r="E166" s="1061">
        <f>F161*C166</f>
        <v>0.22873900293255126</v>
      </c>
      <c r="F166" s="1061"/>
    </row>
    <row r="167" spans="2:6" ht="13.5" thickBot="1">
      <c r="B167" s="1062" t="s">
        <v>96</v>
      </c>
      <c r="C167" s="1062"/>
      <c r="D167" s="1062"/>
      <c r="E167" s="1063" t="e">
        <f>SUM(E165:F166)</f>
        <v>#DIV/0!</v>
      </c>
      <c r="F167" s="1064"/>
    </row>
    <row r="169" spans="2:6" ht="13.5" thickBot="1"/>
    <row r="170" spans="2:6" ht="13.5" thickBot="1">
      <c r="B170" s="1068" t="s">
        <v>86</v>
      </c>
      <c r="C170" s="1069"/>
      <c r="D170" s="1069"/>
      <c r="E170" s="1069"/>
      <c r="F170" s="1070"/>
    </row>
    <row r="171" spans="2:6" ht="26.25" thickBot="1">
      <c r="B171" s="94" t="s">
        <v>69</v>
      </c>
      <c r="C171" s="151" t="s">
        <v>70</v>
      </c>
      <c r="D171" s="58" t="s">
        <v>71</v>
      </c>
      <c r="E171" s="59" t="s">
        <v>72</v>
      </c>
      <c r="F171" s="57" t="s">
        <v>73</v>
      </c>
    </row>
    <row r="172" spans="2:6" ht="13.5" thickBot="1">
      <c r="B172" s="140" t="s">
        <v>75</v>
      </c>
      <c r="C172" s="141"/>
      <c r="D172" s="141"/>
      <c r="E172" s="142"/>
      <c r="F172" s="507">
        <v>0.12</v>
      </c>
    </row>
    <row r="173" spans="2:6">
      <c r="B173" s="86"/>
      <c r="C173" s="508"/>
      <c r="D173" s="509"/>
      <c r="E173" s="510"/>
      <c r="F173" s="144" t="str">
        <f t="shared" ref="F173:F180" si="4">IFERROR(C173/E173,"")</f>
        <v/>
      </c>
    </row>
    <row r="174" spans="2:6">
      <c r="B174" s="84"/>
      <c r="C174" s="511"/>
      <c r="D174" s="512"/>
      <c r="E174" s="513"/>
      <c r="F174" s="144" t="str">
        <f t="shared" si="4"/>
        <v/>
      </c>
    </row>
    <row r="175" spans="2:6">
      <c r="B175" s="84"/>
      <c r="C175" s="511"/>
      <c r="D175" s="512"/>
      <c r="E175" s="513"/>
      <c r="F175" s="144" t="str">
        <f t="shared" si="4"/>
        <v/>
      </c>
    </row>
    <row r="176" spans="2:6">
      <c r="B176" s="84"/>
      <c r="C176" s="511"/>
      <c r="D176" s="512"/>
      <c r="E176" s="513"/>
      <c r="F176" s="144" t="str">
        <f t="shared" si="4"/>
        <v/>
      </c>
    </row>
    <row r="177" spans="2:6">
      <c r="B177" s="84"/>
      <c r="C177" s="511"/>
      <c r="D177" s="512"/>
      <c r="E177" s="513"/>
      <c r="F177" s="144" t="str">
        <f t="shared" si="4"/>
        <v/>
      </c>
    </row>
    <row r="178" spans="2:6">
      <c r="B178" s="84"/>
      <c r="C178" s="511"/>
      <c r="D178" s="512"/>
      <c r="E178" s="513"/>
      <c r="F178" s="144" t="str">
        <f t="shared" si="4"/>
        <v/>
      </c>
    </row>
    <row r="179" spans="2:6">
      <c r="B179" s="84"/>
      <c r="C179" s="511"/>
      <c r="D179" s="512"/>
      <c r="E179" s="513"/>
      <c r="F179" s="144" t="str">
        <f t="shared" si="4"/>
        <v/>
      </c>
    </row>
    <row r="180" spans="2:6" ht="13.5" thickBot="1">
      <c r="B180" s="85"/>
      <c r="C180" s="514"/>
      <c r="D180" s="515"/>
      <c r="E180" s="516"/>
      <c r="F180" s="145" t="str">
        <f t="shared" si="4"/>
        <v/>
      </c>
    </row>
    <row r="181" spans="2:6" ht="13.5" thickBot="1">
      <c r="B181" s="140" t="s">
        <v>78</v>
      </c>
      <c r="C181" s="141"/>
      <c r="D181" s="141"/>
      <c r="E181" s="142"/>
      <c r="F181" s="517">
        <v>0.05</v>
      </c>
    </row>
    <row r="182" spans="2:6">
      <c r="B182" s="1554" t="s">
        <v>79</v>
      </c>
      <c r="C182" s="1555"/>
      <c r="D182" s="1555"/>
      <c r="E182" s="1556"/>
      <c r="F182" s="146">
        <f>SUM(F172:F181)</f>
        <v>0.16999999999999998</v>
      </c>
    </row>
    <row r="183" spans="2:6" ht="13.5" thickBot="1">
      <c r="B183" s="1560" t="s">
        <v>87</v>
      </c>
      <c r="C183" s="1561"/>
      <c r="D183" s="1561"/>
      <c r="E183" s="1562"/>
      <c r="F183" s="150">
        <f>1/F182</f>
        <v>5.882352941176471</v>
      </c>
    </row>
    <row r="184" spans="2:6" ht="13.5" thickBot="1"/>
    <row r="185" spans="2:6" ht="13.5" thickBot="1">
      <c r="B185" s="1068" t="s">
        <v>88</v>
      </c>
      <c r="C185" s="1069"/>
      <c r="D185" s="1069"/>
      <c r="E185" s="1069"/>
      <c r="F185" s="1070"/>
    </row>
    <row r="186" spans="2:6" ht="26.25" thickBot="1">
      <c r="B186" s="94" t="s">
        <v>69</v>
      </c>
      <c r="C186" s="151" t="s">
        <v>70</v>
      </c>
      <c r="D186" s="58" t="s">
        <v>71</v>
      </c>
      <c r="E186" s="59" t="s">
        <v>72</v>
      </c>
      <c r="F186" s="57" t="s">
        <v>73</v>
      </c>
    </row>
    <row r="187" spans="2:6" ht="13.5" thickBot="1">
      <c r="B187" s="140" t="s">
        <v>75</v>
      </c>
      <c r="C187" s="141"/>
      <c r="D187" s="141"/>
      <c r="E187" s="142"/>
      <c r="F187" s="507"/>
    </row>
    <row r="188" spans="2:6">
      <c r="B188" s="86"/>
      <c r="C188" s="508"/>
      <c r="D188" s="509"/>
      <c r="E188" s="510"/>
      <c r="F188" s="143">
        <v>3.2051282051282053</v>
      </c>
    </row>
    <row r="189" spans="2:6">
      <c r="B189" s="84"/>
      <c r="C189" s="511"/>
      <c r="D189" s="512"/>
      <c r="E189" s="513"/>
      <c r="F189" s="144">
        <v>1.0416666666666667</v>
      </c>
    </row>
    <row r="190" spans="2:6">
      <c r="B190" s="84"/>
      <c r="C190" s="511"/>
      <c r="D190" s="512"/>
      <c r="E190" s="513"/>
      <c r="F190" s="144">
        <v>4.1666666666666671E-2</v>
      </c>
    </row>
    <row r="191" spans="2:6">
      <c r="B191" s="84"/>
      <c r="C191" s="511"/>
      <c r="D191" s="512"/>
      <c r="E191" s="513"/>
      <c r="F191" s="144">
        <v>4.1666666666666671E-2</v>
      </c>
    </row>
    <row r="192" spans="2:6">
      <c r="B192" s="84"/>
      <c r="C192" s="511"/>
      <c r="D192" s="512"/>
      <c r="E192" s="513"/>
      <c r="F192" s="144">
        <v>4.1666666666666671E-2</v>
      </c>
    </row>
    <row r="193" spans="2:6">
      <c r="B193" s="84"/>
      <c r="C193" s="511"/>
      <c r="D193" s="512"/>
      <c r="E193" s="513"/>
      <c r="F193" s="144" t="str">
        <f>IFERROR(C193/E193,"")</f>
        <v/>
      </c>
    </row>
    <row r="194" spans="2:6">
      <c r="B194" s="84"/>
      <c r="C194" s="511"/>
      <c r="D194" s="512"/>
      <c r="E194" s="513"/>
      <c r="F194" s="144" t="str">
        <f>IFERROR(C194/E194,"")</f>
        <v/>
      </c>
    </row>
    <row r="195" spans="2:6" ht="13.5" thickBot="1">
      <c r="B195" s="85"/>
      <c r="C195" s="514"/>
      <c r="D195" s="515"/>
      <c r="E195" s="516"/>
      <c r="F195" s="145" t="str">
        <f>IFERROR(C195/E195,"")</f>
        <v/>
      </c>
    </row>
    <row r="196" spans="2:6" ht="13.5" thickBot="1">
      <c r="B196" s="140" t="s">
        <v>78</v>
      </c>
      <c r="C196" s="141"/>
      <c r="D196" s="141"/>
      <c r="E196" s="142"/>
      <c r="F196" s="517"/>
    </row>
    <row r="197" spans="2:6">
      <c r="B197" s="1554" t="s">
        <v>79</v>
      </c>
      <c r="C197" s="1555"/>
      <c r="D197" s="1555"/>
      <c r="E197" s="1556"/>
      <c r="F197" s="146">
        <f>SUM(F187:F196)</f>
        <v>4.3717948717948731</v>
      </c>
    </row>
    <row r="198" spans="2:6" ht="13.5" thickBot="1">
      <c r="B198" s="1560" t="s">
        <v>89</v>
      </c>
      <c r="C198" s="1561"/>
      <c r="D198" s="1561"/>
      <c r="E198" s="1562"/>
      <c r="F198" s="150">
        <f>1/F197</f>
        <v>0.22873900293255126</v>
      </c>
    </row>
    <row r="199" spans="2:6" ht="13.5" thickBot="1"/>
    <row r="200" spans="2:6" ht="13.5" thickBot="1">
      <c r="B200" s="1074" t="s">
        <v>90</v>
      </c>
      <c r="C200" s="1074"/>
      <c r="D200" s="1074"/>
      <c r="E200" s="1074"/>
      <c r="F200" s="1074"/>
    </row>
    <row r="201" spans="2:6" ht="13.5" thickBot="1">
      <c r="B201" s="94" t="s">
        <v>91</v>
      </c>
      <c r="C201" s="1075" t="s">
        <v>92</v>
      </c>
      <c r="D201" s="1075"/>
      <c r="E201" s="1075" t="s">
        <v>93</v>
      </c>
      <c r="F201" s="1075"/>
    </row>
    <row r="202" spans="2:6">
      <c r="B202" s="92" t="s">
        <v>94</v>
      </c>
      <c r="C202" s="1066"/>
      <c r="D202" s="1066"/>
      <c r="E202" s="1067">
        <f>F183*C202</f>
        <v>0</v>
      </c>
      <c r="F202" s="1067"/>
    </row>
    <row r="203" spans="2:6" ht="13.5" thickBot="1">
      <c r="B203" s="91" t="s">
        <v>95</v>
      </c>
      <c r="C203" s="1060">
        <f>1-C202</f>
        <v>1</v>
      </c>
      <c r="D203" s="1060"/>
      <c r="E203" s="1061">
        <f>F198*C203</f>
        <v>0.22873900293255126</v>
      </c>
      <c r="F203" s="1061"/>
    </row>
    <row r="204" spans="2:6" ht="13.5" thickBot="1">
      <c r="B204" s="1062" t="s">
        <v>96</v>
      </c>
      <c r="C204" s="1062"/>
      <c r="D204" s="1062"/>
      <c r="E204" s="1063">
        <f>SUM(E202:F203)</f>
        <v>0.22873900293255126</v>
      </c>
      <c r="F204" s="1064"/>
    </row>
  </sheetData>
  <mergeCells count="83">
    <mergeCell ref="U4:X4"/>
    <mergeCell ref="F4:G5"/>
    <mergeCell ref="H4:J4"/>
    <mergeCell ref="K4:M4"/>
    <mergeCell ref="O4:O5"/>
    <mergeCell ref="P4:T4"/>
    <mergeCell ref="O26:O36"/>
    <mergeCell ref="P26:S26"/>
    <mergeCell ref="T26:V26"/>
    <mergeCell ref="B27:F27"/>
    <mergeCell ref="B28:F28"/>
    <mergeCell ref="H28:L28"/>
    <mergeCell ref="B29:F29"/>
    <mergeCell ref="B30:F30"/>
    <mergeCell ref="H36:L44"/>
    <mergeCell ref="B72:E72"/>
    <mergeCell ref="B47:E47"/>
    <mergeCell ref="B48:E48"/>
    <mergeCell ref="I50:L50"/>
    <mergeCell ref="B54:F54"/>
    <mergeCell ref="B55:F55"/>
    <mergeCell ref="H55:L55"/>
    <mergeCell ref="B56:F56"/>
    <mergeCell ref="B57:F57"/>
    <mergeCell ref="B59:F59"/>
    <mergeCell ref="H59:L67"/>
    <mergeCell ref="B71:E71"/>
    <mergeCell ref="B74:F74"/>
    <mergeCell ref="B86:E86"/>
    <mergeCell ref="B87:E87"/>
    <mergeCell ref="B89:F89"/>
    <mergeCell ref="C90:D90"/>
    <mergeCell ref="E90:F90"/>
    <mergeCell ref="B126:F126"/>
    <mergeCell ref="C91:D91"/>
    <mergeCell ref="E91:F91"/>
    <mergeCell ref="C92:D92"/>
    <mergeCell ref="E92:F92"/>
    <mergeCell ref="B93:D93"/>
    <mergeCell ref="B96:F96"/>
    <mergeCell ref="B108:E108"/>
    <mergeCell ref="B109:E109"/>
    <mergeCell ref="B111:F111"/>
    <mergeCell ref="B123:E123"/>
    <mergeCell ref="B124:E124"/>
    <mergeCell ref="C127:D127"/>
    <mergeCell ref="E127:F127"/>
    <mergeCell ref="C128:D128"/>
    <mergeCell ref="E128:F128"/>
    <mergeCell ref="C129:D129"/>
    <mergeCell ref="E129:F129"/>
    <mergeCell ref="C165:D165"/>
    <mergeCell ref="E165:F165"/>
    <mergeCell ref="B130:D130"/>
    <mergeCell ref="E130:F130"/>
    <mergeCell ref="B133:F133"/>
    <mergeCell ref="B145:E145"/>
    <mergeCell ref="B146:E146"/>
    <mergeCell ref="B148:F148"/>
    <mergeCell ref="B160:E160"/>
    <mergeCell ref="B161:E161"/>
    <mergeCell ref="B163:F163"/>
    <mergeCell ref="C164:D164"/>
    <mergeCell ref="E164:F164"/>
    <mergeCell ref="C201:D201"/>
    <mergeCell ref="E201:F201"/>
    <mergeCell ref="C166:D166"/>
    <mergeCell ref="E166:F166"/>
    <mergeCell ref="B167:D167"/>
    <mergeCell ref="E167:F167"/>
    <mergeCell ref="B170:F170"/>
    <mergeCell ref="B182:E182"/>
    <mergeCell ref="B183:E183"/>
    <mergeCell ref="B185:F185"/>
    <mergeCell ref="B197:E197"/>
    <mergeCell ref="B198:E198"/>
    <mergeCell ref="B200:F200"/>
    <mergeCell ref="C202:D202"/>
    <mergeCell ref="E202:F202"/>
    <mergeCell ref="C203:D203"/>
    <mergeCell ref="E203:F203"/>
    <mergeCell ref="B204:D204"/>
    <mergeCell ref="E204:F204"/>
  </mergeCells>
  <conditionalFormatting sqref="F50">
    <cfRule type="containsText" dxfId="357" priority="3" operator="containsText" text="No cumple">
      <formula>NOT(ISERROR(SEARCH("No cumple",F50)))</formula>
    </cfRule>
    <cfRule type="containsText" dxfId="356" priority="4" operator="containsText" text="Cumple">
      <formula>NOT(ISERROR(SEARCH("Cumple",F50)))</formula>
    </cfRule>
  </conditionalFormatting>
  <conditionalFormatting sqref="F94">
    <cfRule type="containsText" dxfId="355" priority="1" operator="containsText" text="No cumple">
      <formula>NOT(ISERROR(SEARCH("No cumple",F94)))</formula>
    </cfRule>
    <cfRule type="containsText" dxfId="354" priority="2" operator="containsText" text="Cumple">
      <formula>NOT(ISERROR(SEARCH("Cumple",F94)))</formula>
    </cfRule>
  </conditionalFormatting>
  <dataValidations count="3">
    <dataValidation type="list" allowBlank="1" showInputMessage="1" showErrorMessage="1" sqref="C50 C94" xr:uid="{856689B0-7084-429E-99D2-E5BEFA796FF0}">
      <formula1>$F$6:$F$14</formula1>
    </dataValidation>
    <dataValidation type="list" allowBlank="1" showInputMessage="1" showErrorMessage="1" sqref="D50 D94" xr:uid="{6BDF25F7-1777-4246-A579-A43B53AE3B5B}">
      <formula1>$H$4:$M$4</formula1>
    </dataValidation>
    <dataValidation type="list" allowBlank="1" showInputMessage="1" showErrorMessage="1" sqref="E50 E94" xr:uid="{26CE088D-BA39-4087-807F-15A89C805BEE}">
      <formula1>"Ligero,Sólido"</formula1>
    </dataValidation>
  </dataValidations>
  <pageMargins left="0.7" right="0.7" top="0.98624999999999996" bottom="0.75" header="0.3" footer="0.3"/>
  <pageSetup paperSize="9" scale="81" orientation="landscape" r:id="rId1"/>
  <headerFooter>
    <oddHeader>&amp;L&amp;G</oddHeader>
    <oddFooter>&amp;L&amp;D&amp;R&amp;A</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518EB-A97F-4DCB-803D-34062C4B9F3D}">
  <dimension ref="A1:AC264"/>
  <sheetViews>
    <sheetView showGridLines="0" zoomScaleNormal="100" zoomScalePageLayoutView="80" workbookViewId="0">
      <selection activeCell="C35" sqref="C35:C36"/>
    </sheetView>
  </sheetViews>
  <sheetFormatPr defaultColWidth="8.7109375" defaultRowHeight="12.75"/>
  <cols>
    <col min="1" max="1" width="5.28515625" customWidth="1"/>
    <col min="2" max="2" width="23.7109375" customWidth="1"/>
    <col min="3" max="3" width="45.7109375" customWidth="1"/>
    <col min="4" max="4" width="32.28515625" customWidth="1"/>
    <col min="5" max="6" width="15.7109375" customWidth="1"/>
    <col min="7" max="7" width="2.28515625" customWidth="1"/>
    <col min="8" max="8" width="29.5703125" customWidth="1"/>
    <col min="9" max="9" width="17.28515625" customWidth="1"/>
    <col min="10" max="10" width="12.28515625" customWidth="1"/>
    <col min="11" max="11" width="14.28515625" customWidth="1"/>
    <col min="14" max="14" width="40.5703125" bestFit="1" customWidth="1"/>
    <col min="15" max="15" width="10" customWidth="1"/>
    <col min="16" max="18" width="11.5703125" style="1" customWidth="1"/>
    <col min="19" max="19" width="14.28515625" style="1" customWidth="1"/>
    <col min="20" max="22" width="11.5703125" style="1" customWidth="1"/>
    <col min="23" max="25" width="11.5703125" customWidth="1"/>
  </cols>
  <sheetData>
    <row r="1" spans="1:29" s="117" customFormat="1" ht="26.85" customHeight="1">
      <c r="A1" s="115" t="s">
        <v>13</v>
      </c>
      <c r="B1" s="116" t="s">
        <v>14</v>
      </c>
      <c r="C1" s="116"/>
      <c r="D1" s="116"/>
      <c r="E1" s="116" t="s">
        <v>4</v>
      </c>
      <c r="F1" s="116"/>
      <c r="G1" s="116"/>
      <c r="H1" s="116"/>
      <c r="I1" s="116"/>
      <c r="P1" s="796"/>
      <c r="Q1" s="796"/>
      <c r="R1" s="796"/>
      <c r="S1" s="796"/>
      <c r="T1" s="796"/>
      <c r="U1" s="796"/>
      <c r="V1" s="796"/>
    </row>
    <row r="2" spans="1:29" s="998" customFormat="1" ht="26.25" customHeight="1" thickBot="1">
      <c r="A2" s="908"/>
      <c r="B2" s="909"/>
      <c r="C2" s="909"/>
      <c r="D2" s="909"/>
      <c r="E2" s="909"/>
      <c r="F2" s="909"/>
      <c r="G2" s="909"/>
      <c r="H2" s="909"/>
      <c r="I2" s="909"/>
      <c r="P2" s="999"/>
      <c r="Q2" s="999"/>
      <c r="R2" s="999"/>
      <c r="S2" s="999"/>
      <c r="T2" s="999"/>
      <c r="U2" s="999"/>
      <c r="V2" s="999"/>
    </row>
    <row r="3" spans="1:29" s="998" customFormat="1" ht="15.75" thickBot="1">
      <c r="A3" s="908"/>
      <c r="B3" s="82" t="s">
        <v>68</v>
      </c>
      <c r="C3" s="964"/>
      <c r="D3" s="909"/>
      <c r="E3" s="909"/>
      <c r="F3" s="909"/>
      <c r="G3" s="909"/>
      <c r="H3" s="909"/>
      <c r="I3" s="909"/>
      <c r="P3" s="999"/>
      <c r="Q3" s="999"/>
      <c r="R3" s="999"/>
      <c r="S3" s="999"/>
      <c r="T3" s="999"/>
      <c r="U3" s="999"/>
      <c r="V3" s="999"/>
    </row>
    <row r="4" spans="1:29" ht="13.5" thickBot="1">
      <c r="E4" s="887"/>
      <c r="F4" s="887"/>
      <c r="G4" s="887"/>
      <c r="H4" s="887"/>
      <c r="I4" s="887"/>
      <c r="J4" s="887"/>
      <c r="K4" s="887"/>
      <c r="L4" s="887"/>
      <c r="M4" s="887"/>
    </row>
    <row r="5" spans="1:29" ht="13.5" thickBot="1">
      <c r="B5" s="653" t="s">
        <v>15</v>
      </c>
      <c r="C5" s="655"/>
      <c r="D5" s="654"/>
      <c r="E5" s="655"/>
      <c r="F5" s="655"/>
      <c r="G5" s="887"/>
      <c r="N5" s="1092" t="s">
        <v>117</v>
      </c>
      <c r="O5" s="1092"/>
      <c r="P5" s="1092"/>
      <c r="Q5" s="1092"/>
      <c r="R5" s="1092"/>
      <c r="S5" s="1092"/>
      <c r="T5" s="1092"/>
      <c r="U5" s="1092"/>
      <c r="V5" s="1092"/>
      <c r="W5" s="1092"/>
      <c r="X5" s="1092"/>
      <c r="Y5" s="1092"/>
      <c r="Z5" s="1092"/>
      <c r="AA5" s="1092"/>
      <c r="AB5" s="1092"/>
      <c r="AC5" s="1092"/>
    </row>
    <row r="6" spans="1:29" ht="39" customHeight="1" thickBot="1">
      <c r="B6" s="1000" t="s">
        <v>17</v>
      </c>
      <c r="C6" s="1000" t="s">
        <v>64</v>
      </c>
      <c r="D6" s="1000" t="s">
        <v>66</v>
      </c>
      <c r="E6" s="1001" t="s">
        <v>118</v>
      </c>
      <c r="F6" s="1001" t="s">
        <v>119</v>
      </c>
      <c r="G6" s="7"/>
      <c r="H6" s="1002" t="s">
        <v>120</v>
      </c>
      <c r="I6" s="1002" t="s">
        <v>121</v>
      </c>
      <c r="N6" s="1003" t="s">
        <v>19</v>
      </c>
      <c r="O6" s="1093" t="s">
        <v>102</v>
      </c>
      <c r="P6" s="1094"/>
      <c r="Q6" s="1094"/>
      <c r="R6" s="1094"/>
      <c r="S6" s="1094"/>
      <c r="T6" s="1094"/>
      <c r="U6" s="1094"/>
      <c r="V6" s="1095"/>
      <c r="W6" s="1096" t="s">
        <v>98</v>
      </c>
      <c r="X6" s="1097"/>
      <c r="Y6" s="1097"/>
      <c r="Z6" s="1097"/>
      <c r="AA6" s="1097"/>
      <c r="AB6" s="1097"/>
      <c r="AC6" s="1098"/>
    </row>
    <row r="7" spans="1:29" ht="21.75" customHeight="1">
      <c r="B7" s="1004" t="s">
        <v>22</v>
      </c>
      <c r="C7" s="1005"/>
      <c r="D7" s="1005"/>
      <c r="E7" s="1006"/>
      <c r="F7" s="1007" t="str" cm="1">
        <f t="array" aca="1" ref="F7" ca="1">IFERROR(+_xlfn.XLOOKUP($C$3,$N$8:$N$16,INDIRECT(_xlfn.CONCAT(SUBSTITUTE(D7," ","_"),_xlfn.SWITCH(C7,"Contra espacios no acondicionados y terreno","_int","Contra clima exterior","_ext")))),"")</f>
        <v/>
      </c>
      <c r="G7" s="1008"/>
      <c r="H7" s="1020" t="str" cm="1">
        <f t="array" aca="1" ref="H7" ca="1">_xlfn.IFS(OR(E7="",F7=""),"",E7&lt;=F7,"Cumple",E7&gt;F7,"No cumple")</f>
        <v/>
      </c>
      <c r="I7" s="1021" t="str" cm="1">
        <f t="array" aca="1" ref="I7" ca="1">_xlfn.IFS(OR(E7="",F7=""),"",E7*110%&lt;=F7,"Cumple",E7*110%&gt;F7,"No cumple")</f>
        <v/>
      </c>
      <c r="N7" s="1003"/>
      <c r="O7" s="627" t="s">
        <v>23</v>
      </c>
      <c r="P7" s="627" t="s">
        <v>122</v>
      </c>
      <c r="Q7" s="627" t="s">
        <v>25</v>
      </c>
      <c r="R7" s="627" t="s">
        <v>26</v>
      </c>
      <c r="S7" s="627" t="s">
        <v>27</v>
      </c>
      <c r="T7" s="627" t="s">
        <v>28</v>
      </c>
      <c r="U7" s="627" t="s">
        <v>29</v>
      </c>
      <c r="V7" s="627" t="s">
        <v>30</v>
      </c>
      <c r="W7" s="627" t="s">
        <v>25</v>
      </c>
      <c r="X7" s="627" t="s">
        <v>26</v>
      </c>
      <c r="Y7" s="627" t="s">
        <v>23</v>
      </c>
      <c r="Z7" s="627" t="s">
        <v>122</v>
      </c>
      <c r="AA7" s="627" t="s">
        <v>27</v>
      </c>
      <c r="AB7" s="627" t="s">
        <v>28</v>
      </c>
      <c r="AC7" s="627" t="s">
        <v>30</v>
      </c>
    </row>
    <row r="8" spans="1:29">
      <c r="B8" s="1009" t="s">
        <v>31</v>
      </c>
      <c r="C8" s="1010"/>
      <c r="D8" s="1010"/>
      <c r="E8" s="1011"/>
      <c r="F8" s="1012" t="str" cm="1">
        <f t="array" aca="1" ref="F8" ca="1">IFERROR(+_xlfn.XLOOKUP($C$3,$N$8:$N$16,INDIRECT(_xlfn.CONCAT(SUBSTITUTE(D8," ","_"),_xlfn.SWITCH(C8,"Contra espacios no acondicionados y terreno","_int","Contra clima exterior","_ext")))),"")</f>
        <v/>
      </c>
      <c r="G8" s="7"/>
      <c r="H8" s="1022" t="str" cm="1">
        <f t="array" aca="1" ref="H8" ca="1">_xlfn.IFS(OR(E8="",F8=""),"",E8&lt;=F8,"Cumple",E8&gt;F8,"No cumple")</f>
        <v/>
      </c>
      <c r="I8" s="1023" t="str" cm="1">
        <f t="array" aca="1" ref="I8" ca="1">_xlfn.IFS(OR(E8="",F8=""),"",E8*110%&lt;=F8,"Cumple",E8*110%&gt;F8,"No cumple")</f>
        <v/>
      </c>
      <c r="N8" s="902" t="s">
        <v>32</v>
      </c>
      <c r="O8" s="318">
        <v>0.4</v>
      </c>
      <c r="P8" s="318">
        <v>0.6</v>
      </c>
      <c r="Q8" s="318">
        <v>0.4</v>
      </c>
      <c r="R8" s="318">
        <v>0.6</v>
      </c>
      <c r="S8" s="318">
        <v>0.4</v>
      </c>
      <c r="T8" s="318">
        <v>0.6</v>
      </c>
      <c r="U8" s="318">
        <v>1.9</v>
      </c>
      <c r="V8" s="318">
        <v>1.9</v>
      </c>
      <c r="W8" s="318">
        <v>0.6</v>
      </c>
      <c r="X8" s="318">
        <v>0.6</v>
      </c>
      <c r="Y8" s="318">
        <v>0.6</v>
      </c>
      <c r="Z8" s="318">
        <v>0.6</v>
      </c>
      <c r="AA8" s="318">
        <v>0.6</v>
      </c>
      <c r="AB8" s="318">
        <v>0.6</v>
      </c>
      <c r="AC8" s="318">
        <v>3</v>
      </c>
    </row>
    <row r="9" spans="1:29">
      <c r="B9" s="1009" t="s">
        <v>33</v>
      </c>
      <c r="C9" s="1010"/>
      <c r="D9" s="1010"/>
      <c r="E9" s="1011"/>
      <c r="F9" s="1012" t="str" cm="1">
        <f t="array" aca="1" ref="F9" ca="1">IFERROR(+_xlfn.XLOOKUP($C$3,$N$8:$N$16,INDIRECT(_xlfn.CONCAT(SUBSTITUTE(D9," ","_"),_xlfn.SWITCH(C9,"Contra espacios no acondicionados y terreno","_int","Contra clima exterior","_ext")))),"")</f>
        <v/>
      </c>
      <c r="G9" s="7"/>
      <c r="H9" s="1022" t="str" cm="1">
        <f t="array" aca="1" ref="H9" ca="1">_xlfn.IFS(OR(E9="",F9=""),"",E9&lt;=F9,"Cumple",E9&gt;F9,"No cumple")</f>
        <v/>
      </c>
      <c r="I9" s="1023" t="str" cm="1">
        <f t="array" aca="1" ref="I9" ca="1">_xlfn.IFS(OR(E9="",F9=""),"",E9*110%&lt;=F9,"Cumple",E9*110%&gt;F9,"No cumple")</f>
        <v/>
      </c>
      <c r="N9" s="902" t="s">
        <v>34</v>
      </c>
      <c r="O9" s="318">
        <v>0.4</v>
      </c>
      <c r="P9" s="318">
        <v>0.6</v>
      </c>
      <c r="Q9" s="318">
        <v>0.4</v>
      </c>
      <c r="R9" s="318">
        <v>0.6</v>
      </c>
      <c r="S9" s="318">
        <v>0.4</v>
      </c>
      <c r="T9" s="318">
        <v>0.6</v>
      </c>
      <c r="U9" s="318">
        <v>1.9</v>
      </c>
      <c r="V9" s="318">
        <v>1.9</v>
      </c>
      <c r="W9" s="318">
        <v>0.6</v>
      </c>
      <c r="X9" s="318">
        <v>0.6</v>
      </c>
      <c r="Y9" s="318">
        <v>0.6</v>
      </c>
      <c r="Z9" s="318">
        <v>0.6</v>
      </c>
      <c r="AA9" s="318">
        <v>0.6</v>
      </c>
      <c r="AB9" s="318">
        <v>0.6</v>
      </c>
      <c r="AC9" s="318">
        <v>3</v>
      </c>
    </row>
    <row r="10" spans="1:29">
      <c r="B10" s="1009" t="s">
        <v>35</v>
      </c>
      <c r="C10" s="1010"/>
      <c r="D10" s="1010"/>
      <c r="E10" s="1011"/>
      <c r="F10" s="1012" t="str" cm="1">
        <f t="array" aca="1" ref="F10" ca="1">IFERROR(+_xlfn.XLOOKUP($C$3,$N$8:$N$16,INDIRECT(_xlfn.CONCAT(SUBSTITUTE(D10," ","_"),_xlfn.SWITCH(C10,"Contra espacios no acondicionados y terreno","_int","Contra clima exterior","_ext")))),"")</f>
        <v/>
      </c>
      <c r="G10" s="7"/>
      <c r="H10" s="1022" t="str" cm="1">
        <f t="array" aca="1" ref="H10" ca="1">_xlfn.IFS(OR(E10="",F10=""),"",E10&lt;=F10,"Cumple",E10&gt;F10,"No cumple")</f>
        <v/>
      </c>
      <c r="I10" s="1023" t="str" cm="1">
        <f t="array" aca="1" ref="I10" ca="1">_xlfn.IFS(OR(E10="",F10=""),"",E10*110%&lt;=F10,"Cumple",E10*110%&gt;F10,"No cumple")</f>
        <v/>
      </c>
      <c r="N10" s="902" t="s">
        <v>36</v>
      </c>
      <c r="O10" s="318">
        <v>0.3</v>
      </c>
      <c r="P10" s="318">
        <v>0.5</v>
      </c>
      <c r="Q10" s="318">
        <v>0.3</v>
      </c>
      <c r="R10" s="318">
        <v>0.5</v>
      </c>
      <c r="S10" s="318">
        <v>0.3</v>
      </c>
      <c r="T10" s="318">
        <v>0.5</v>
      </c>
      <c r="U10" s="318">
        <v>1.9</v>
      </c>
      <c r="V10" s="318">
        <v>1.9</v>
      </c>
      <c r="W10" s="318">
        <v>0.4</v>
      </c>
      <c r="X10" s="318">
        <v>0.5</v>
      </c>
      <c r="Y10" s="318">
        <v>0.4</v>
      </c>
      <c r="Z10" s="318">
        <v>0.5</v>
      </c>
      <c r="AA10" s="318">
        <v>0.4</v>
      </c>
      <c r="AB10" s="318">
        <v>0.5</v>
      </c>
      <c r="AC10" s="318">
        <v>3</v>
      </c>
    </row>
    <row r="11" spans="1:29" ht="13.5" thickBot="1">
      <c r="B11" s="1013" t="s">
        <v>37</v>
      </c>
      <c r="C11" s="1014"/>
      <c r="D11" s="1014"/>
      <c r="E11" s="1015"/>
      <c r="F11" s="1016" t="str" cm="1">
        <f t="array" aca="1" ref="F11" ca="1">IFERROR(+_xlfn.XLOOKUP($C$3,$N$8:$N$16,INDIRECT(_xlfn.CONCAT(SUBSTITUTE(D11," ","_"),_xlfn.SWITCH(C11,"Contra espacios no acondicionados y terreno","_int","Contra clima exterior","_ext")))),"")</f>
        <v/>
      </c>
      <c r="G11" s="7"/>
      <c r="H11" s="1024" t="str" cm="1">
        <f t="array" aca="1" ref="H11" ca="1">_xlfn.IFS(OR(E11="",F11=""),"",E11&lt;=F11,"Cumple",E11&gt;F11,"No cumple")</f>
        <v/>
      </c>
      <c r="I11" s="1025" t="str" cm="1">
        <f t="array" aca="1" ref="I11" ca="1">_xlfn.IFS(OR(E11="",F11=""),"",E11*110%&lt;=F11,"Cumple",E11*110%&gt;F11,"No cumple")</f>
        <v/>
      </c>
      <c r="N11" s="902" t="s">
        <v>38</v>
      </c>
      <c r="O11" s="318">
        <v>0.3</v>
      </c>
      <c r="P11" s="318">
        <v>0.5</v>
      </c>
      <c r="Q11" s="318">
        <v>0.3</v>
      </c>
      <c r="R11" s="318">
        <v>0.5</v>
      </c>
      <c r="S11" s="318">
        <v>0.3</v>
      </c>
      <c r="T11" s="318">
        <v>0.5</v>
      </c>
      <c r="U11" s="318">
        <v>1.9</v>
      </c>
      <c r="V11" s="318">
        <v>1.9</v>
      </c>
      <c r="W11" s="318">
        <v>0.4</v>
      </c>
      <c r="X11" s="318">
        <v>0.5</v>
      </c>
      <c r="Y11" s="318">
        <v>0.4</v>
      </c>
      <c r="Z11" s="318">
        <v>0.5</v>
      </c>
      <c r="AA11" s="318">
        <v>0.4</v>
      </c>
      <c r="AB11" s="318">
        <v>0.5</v>
      </c>
      <c r="AC11" s="318">
        <v>3</v>
      </c>
    </row>
    <row r="12" spans="1:29">
      <c r="B12" s="1017" t="s">
        <v>39</v>
      </c>
      <c r="C12" s="1005"/>
      <c r="D12" s="1005"/>
      <c r="E12" s="1006"/>
      <c r="F12" s="1018" t="str" cm="1">
        <f t="array" aca="1" ref="F12" ca="1">IFERROR(+_xlfn.XLOOKUP($C$3,$N$8:$N$16,INDIRECT(_xlfn.CONCAT(SUBSTITUTE(D12," ","_"),_xlfn.SWITCH(C12,"Contra espacios no acondicionados y terreno","_int","Contra clima exterior","_ext")))),"")</f>
        <v/>
      </c>
      <c r="G12" s="7"/>
      <c r="H12" s="1020" t="str" cm="1">
        <f t="array" aca="1" ref="H12" ca="1">_xlfn.IFS(OR(E12="",F12=""),"",E12&lt;=F12,"Cumple",E12&gt;F12,"No cumple")</f>
        <v/>
      </c>
      <c r="I12" s="1021" t="str" cm="1">
        <f t="array" aca="1" ref="I12" ca="1">_xlfn.IFS(OR(E12="",F12=""),"",E12*110%&lt;=F12,"Cumple",E12*110%&gt;F12,"No cumple")</f>
        <v/>
      </c>
      <c r="N12" s="902" t="s">
        <v>40</v>
      </c>
      <c r="O12" s="318">
        <v>0.25</v>
      </c>
      <c r="P12" s="318">
        <v>0.25</v>
      </c>
      <c r="Q12" s="318">
        <v>0.25</v>
      </c>
      <c r="R12" s="318">
        <v>0.25</v>
      </c>
      <c r="S12" s="318">
        <v>0.25</v>
      </c>
      <c r="T12" s="318">
        <v>0.25</v>
      </c>
      <c r="U12" s="318">
        <v>1.9</v>
      </c>
      <c r="V12" s="318">
        <v>1.9</v>
      </c>
      <c r="W12" s="318">
        <v>0.4</v>
      </c>
      <c r="X12" s="318">
        <v>0.4</v>
      </c>
      <c r="Y12" s="318">
        <v>0.4</v>
      </c>
      <c r="Z12" s="318">
        <v>0.4</v>
      </c>
      <c r="AA12" s="318">
        <v>0.4</v>
      </c>
      <c r="AB12" s="318">
        <v>0.4</v>
      </c>
      <c r="AC12" s="318">
        <v>3</v>
      </c>
    </row>
    <row r="13" spans="1:29">
      <c r="B13" s="1009" t="s">
        <v>41</v>
      </c>
      <c r="C13" s="1010"/>
      <c r="D13" s="1010"/>
      <c r="E13" s="1011"/>
      <c r="F13" s="1012" t="str" cm="1">
        <f t="array" aca="1" ref="F13" ca="1">IFERROR(+_xlfn.XLOOKUP($C$3,$N$8:$N$16,INDIRECT(_xlfn.CONCAT(SUBSTITUTE(D13," ","_"),_xlfn.SWITCH(C13,"Contra espacios no acondicionados y terreno","_int","Contra clima exterior","_ext")))),"")</f>
        <v/>
      </c>
      <c r="G13" s="7"/>
      <c r="H13" s="1022" t="str" cm="1">
        <f t="array" aca="1" ref="H13" ca="1">_xlfn.IFS(OR(E13="",F13=""),"",E13&lt;=F13,"Cumple",E13&gt;F13,"No cumple")</f>
        <v/>
      </c>
      <c r="I13" s="1023" t="str" cm="1">
        <f t="array" aca="1" ref="I13" ca="1">_xlfn.IFS(OR(E13="",F13=""),"",E13*110%&lt;=F13,"Cumple",E13*110%&gt;F13,"No cumple")</f>
        <v/>
      </c>
      <c r="N13" s="902" t="s">
        <v>42</v>
      </c>
      <c r="O13" s="318">
        <v>0.25</v>
      </c>
      <c r="P13" s="318">
        <v>0.25</v>
      </c>
      <c r="Q13" s="318">
        <v>0.25</v>
      </c>
      <c r="R13" s="318">
        <v>0.25</v>
      </c>
      <c r="S13" s="318">
        <v>0.25</v>
      </c>
      <c r="T13" s="318">
        <v>0.25</v>
      </c>
      <c r="U13" s="318">
        <v>1.9</v>
      </c>
      <c r="V13" s="318">
        <v>1.9</v>
      </c>
      <c r="W13" s="318">
        <v>0.3</v>
      </c>
      <c r="X13" s="318">
        <v>0.3</v>
      </c>
      <c r="Y13" s="318">
        <v>0.3</v>
      </c>
      <c r="Z13" s="318">
        <v>0.3</v>
      </c>
      <c r="AA13" s="318">
        <v>0.3</v>
      </c>
      <c r="AB13" s="318">
        <v>0.3</v>
      </c>
      <c r="AC13" s="318">
        <v>3</v>
      </c>
    </row>
    <row r="14" spans="1:29" ht="13.5" thickBot="1">
      <c r="B14" s="1013" t="s">
        <v>43</v>
      </c>
      <c r="C14" s="1014"/>
      <c r="D14" s="1014"/>
      <c r="E14" s="1015"/>
      <c r="F14" s="1016" t="str" cm="1">
        <f t="array" aca="1" ref="F14" ca="1">IFERROR(+_xlfn.XLOOKUP($C$3,$N$8:$N$16,INDIRECT(_xlfn.CONCAT(SUBSTITUTE(D14," ","_"),_xlfn.SWITCH(C14,"Contra espacios no acondicionados y terreno","_int","Contra clima exterior","_ext")))),"")</f>
        <v/>
      </c>
      <c r="G14" s="7"/>
      <c r="H14" s="1024" t="str" cm="1">
        <f t="array" aca="1" ref="H14" ca="1">_xlfn.IFS(OR(E14="",F14=""),"",E14&lt;=F14,"Cumple",E14&gt;F14,"No cumple")</f>
        <v/>
      </c>
      <c r="I14" s="1025" t="str" cm="1">
        <f t="array" aca="1" ref="I14" ca="1">_xlfn.IFS(OR(E14="",F14=""),"",E14*110%&lt;=F14,"Cumple",E14*110%&gt;F14,"No cumple")</f>
        <v/>
      </c>
      <c r="N14" s="902" t="s">
        <v>44</v>
      </c>
      <c r="O14" s="318">
        <v>0.25</v>
      </c>
      <c r="P14" s="318">
        <v>0.25</v>
      </c>
      <c r="Q14" s="318">
        <v>0.25</v>
      </c>
      <c r="R14" s="318">
        <v>0.25</v>
      </c>
      <c r="S14" s="318">
        <v>0.25</v>
      </c>
      <c r="T14" s="318">
        <v>0.25</v>
      </c>
      <c r="U14" s="318">
        <v>1.9</v>
      </c>
      <c r="V14" s="318">
        <v>1.9</v>
      </c>
      <c r="W14" s="318">
        <v>0.3</v>
      </c>
      <c r="X14" s="318">
        <v>0.3</v>
      </c>
      <c r="Y14" s="318">
        <v>0.3</v>
      </c>
      <c r="Z14" s="318">
        <v>0.3</v>
      </c>
      <c r="AA14" s="318">
        <v>0.3</v>
      </c>
      <c r="AB14" s="318">
        <v>0.3</v>
      </c>
      <c r="AC14" s="318">
        <v>3</v>
      </c>
    </row>
    <row r="15" spans="1:29">
      <c r="B15" s="1017" t="s">
        <v>45</v>
      </c>
      <c r="C15" s="1005"/>
      <c r="D15" s="1005"/>
      <c r="E15" s="1006"/>
      <c r="F15" s="1018" t="str" cm="1">
        <f t="array" aca="1" ref="F15" ca="1">IFERROR(+_xlfn.XLOOKUP($C$3,$N$8:$N$16,INDIRECT(_xlfn.CONCAT(SUBSTITUTE(D15," ","_"),_xlfn.SWITCH(C15,"Contra espacios no acondicionados y terreno","_int","Contra clima exterior","_ext")))),"")</f>
        <v/>
      </c>
      <c r="G15" s="7"/>
      <c r="H15" s="1020" t="str" cm="1">
        <f t="array" aca="1" ref="H15" ca="1">_xlfn.IFS(OR(E15="",F15=""),"",E15&lt;=F15,"Cumple",E15&gt;F15,"No cumple")</f>
        <v/>
      </c>
      <c r="I15" s="1021" t="str" cm="1">
        <f t="array" aca="1" ref="I15" ca="1">_xlfn.IFS(OR(E15="",F15=""),"",E15*110%&lt;=F15,"Cumple",E15*110%&gt;F15,"No cumple")</f>
        <v/>
      </c>
      <c r="N15" s="902" t="s">
        <v>46</v>
      </c>
      <c r="O15" s="318">
        <v>0.18</v>
      </c>
      <c r="P15" s="318">
        <v>0.18</v>
      </c>
      <c r="Q15" s="318">
        <v>0.18</v>
      </c>
      <c r="R15" s="318">
        <v>0.18</v>
      </c>
      <c r="S15" s="318">
        <v>0.18</v>
      </c>
      <c r="T15" s="318">
        <v>0.18</v>
      </c>
      <c r="U15" s="318">
        <v>1.9</v>
      </c>
      <c r="V15" s="318">
        <v>1.9</v>
      </c>
      <c r="W15" s="318">
        <v>0.3</v>
      </c>
      <c r="X15" s="318">
        <v>0.3</v>
      </c>
      <c r="Y15" s="318">
        <v>0.3</v>
      </c>
      <c r="Z15" s="318">
        <v>0.3</v>
      </c>
      <c r="AA15" s="318">
        <v>0.3</v>
      </c>
      <c r="AB15" s="318">
        <v>0.3</v>
      </c>
      <c r="AC15" s="318">
        <v>3</v>
      </c>
    </row>
    <row r="16" spans="1:29">
      <c r="B16" s="1009" t="s">
        <v>47</v>
      </c>
      <c r="C16" s="1010"/>
      <c r="D16" s="1010"/>
      <c r="E16" s="1011"/>
      <c r="F16" s="1012" t="str" cm="1">
        <f t="array" aca="1" ref="F16" ca="1">IFERROR(+_xlfn.XLOOKUP($C$3,$N$8:$N$16,INDIRECT(_xlfn.CONCAT(SUBSTITUTE(D16," ","_"),_xlfn.SWITCH(C16,"Contra espacios no acondicionados y terreno","_int","Contra clima exterior","_ext")))),"")</f>
        <v/>
      </c>
      <c r="G16" s="7"/>
      <c r="H16" s="1022" t="str" cm="1">
        <f t="array" aca="1" ref="H16" ca="1">_xlfn.IFS(OR(E16="",F16=""),"",E16&lt;=F16,"Cumple",E16&gt;F16,"No cumple")</f>
        <v/>
      </c>
      <c r="I16" s="1023" t="str" cm="1">
        <f t="array" aca="1" ref="I16" ca="1">_xlfn.IFS(OR(E16="",F16=""),"",E16*110%&lt;=F16,"Cumple",E16*110%&gt;F16,"No cumple")</f>
        <v/>
      </c>
      <c r="N16" s="902" t="s">
        <v>48</v>
      </c>
      <c r="O16" s="318">
        <v>0.18</v>
      </c>
      <c r="P16" s="318">
        <v>0.18</v>
      </c>
      <c r="Q16" s="318">
        <v>0.18</v>
      </c>
      <c r="R16" s="318">
        <v>0.18</v>
      </c>
      <c r="S16" s="318">
        <v>0.18</v>
      </c>
      <c r="T16" s="318">
        <v>0.18</v>
      </c>
      <c r="U16" s="318">
        <v>1.9</v>
      </c>
      <c r="V16" s="318">
        <v>1.9</v>
      </c>
      <c r="W16" s="318">
        <v>0.3</v>
      </c>
      <c r="X16" s="318">
        <v>0.3</v>
      </c>
      <c r="Y16" s="318">
        <v>0.3</v>
      </c>
      <c r="Z16" s="318">
        <v>0.3</v>
      </c>
      <c r="AA16" s="318">
        <v>0.3</v>
      </c>
      <c r="AB16" s="318">
        <v>0.3</v>
      </c>
      <c r="AC16" s="318">
        <v>3</v>
      </c>
    </row>
    <row r="17" spans="2:29" ht="13.5" thickBot="1">
      <c r="B17" s="1013" t="s">
        <v>49</v>
      </c>
      <c r="C17" s="1014"/>
      <c r="D17" s="1014"/>
      <c r="E17" s="1015"/>
      <c r="F17" s="1016" t="str" cm="1">
        <f t="array" aca="1" ref="F17" ca="1">IFERROR(+_xlfn.XLOOKUP($C$3,$N$8:$N$16,INDIRECT(_xlfn.CONCAT(SUBSTITUTE(D17," ","_"),_xlfn.SWITCH(C17,"Contra espacios no acondicionados y terreno","_int","Contra clima exterior","_ext")))),"")</f>
        <v/>
      </c>
      <c r="G17" s="7"/>
      <c r="H17" s="1024" t="str" cm="1">
        <f t="array" aca="1" ref="H17" ca="1">_xlfn.IFS(OR(E17="",F17=""),"",E17&lt;=F17,"Cumple",E17&gt;F17,"No cumple")</f>
        <v/>
      </c>
      <c r="I17" s="1025" t="str" cm="1">
        <f t="array" aca="1" ref="I17" ca="1">_xlfn.IFS(OR(E17="",F17=""),"",E17*110%&lt;=F17,"Cumple",E17*110%&gt;F17,"No cumple")</f>
        <v/>
      </c>
      <c r="N17" s="887"/>
      <c r="O17" s="887"/>
      <c r="P17" s="887"/>
      <c r="Q17" s="887"/>
      <c r="R17" s="887"/>
      <c r="S17" s="887"/>
      <c r="T17" s="887"/>
      <c r="U17" s="887"/>
      <c r="V17" s="887"/>
      <c r="W17" s="887"/>
      <c r="X17" s="887"/>
      <c r="Y17" s="887"/>
      <c r="Z17" s="887"/>
      <c r="AA17" s="887"/>
      <c r="AB17" s="887"/>
      <c r="AC17" s="887"/>
    </row>
    <row r="18" spans="2:29">
      <c r="B18" s="1017" t="s">
        <v>50</v>
      </c>
      <c r="C18" s="1005"/>
      <c r="D18" s="1005"/>
      <c r="E18" s="1006"/>
      <c r="F18" s="1018" t="str" cm="1">
        <f t="array" aca="1" ref="F18" ca="1">IFERROR(+_xlfn.XLOOKUP($C$3,$N$8:$N$16,INDIRECT(_xlfn.CONCAT(SUBSTITUTE(D18," ","_"),_xlfn.SWITCH(C18,"Contra espacios no acondicionados y terreno","_int","Contra clima exterior","_ext")))),"")</f>
        <v/>
      </c>
      <c r="G18" s="7"/>
      <c r="H18" s="1020" t="str" cm="1">
        <f t="array" aca="1" ref="H18" ca="1">_xlfn.IFS(OR(E18="",F18=""),"",E18&lt;=F18,"Cumple",E18&gt;F18,"No cumple")</f>
        <v/>
      </c>
      <c r="I18" s="1021" t="str" cm="1">
        <f t="array" aca="1" ref="I18" ca="1">_xlfn.IFS(OR(E18="",F18=""),"",E18*110%&lt;=F18,"Cumple",E18*110%&gt;F18,"No cumple")</f>
        <v/>
      </c>
      <c r="N18" s="1019" t="s">
        <v>51</v>
      </c>
      <c r="O18" s="1019"/>
      <c r="P18" s="1019"/>
      <c r="Q18" s="1019"/>
      <c r="R18" s="1019"/>
      <c r="S18" s="1019"/>
      <c r="T18" s="1019"/>
      <c r="U18" s="1019"/>
      <c r="V18" s="1019"/>
      <c r="W18" s="1019"/>
      <c r="X18" s="1019"/>
      <c r="Y18" s="1019"/>
      <c r="Z18" s="1019"/>
      <c r="AA18" s="1019"/>
      <c r="AB18" s="1019"/>
      <c r="AC18" s="1019"/>
    </row>
    <row r="19" spans="2:29">
      <c r="B19" s="1009" t="s">
        <v>52</v>
      </c>
      <c r="C19" s="1010"/>
      <c r="D19" s="1010"/>
      <c r="E19" s="1011"/>
      <c r="F19" s="1012" t="str" cm="1">
        <f t="array" aca="1" ref="F19" ca="1">IFERROR(+_xlfn.XLOOKUP($C$3,$N$8:$N$16,INDIRECT(_xlfn.CONCAT(SUBSTITUTE(D19," ","_"),_xlfn.SWITCH(C19,"Contra espacios no acondicionados y terreno","_int","Contra clima exterior","_ext")))),"")</f>
        <v/>
      </c>
      <c r="G19" s="7"/>
      <c r="H19" s="1022" t="str" cm="1">
        <f t="array" aca="1" ref="H19" ca="1">_xlfn.IFS(OR(E19="",F19=""),"",E19&lt;=F19,"Cumple",E19&gt;F19,"No cumple")</f>
        <v/>
      </c>
      <c r="I19" s="1023" t="str" cm="1">
        <f t="array" aca="1" ref="I19" ca="1">_xlfn.IFS(OR(E19="",F19=""),"",E19*110%&lt;=F19,"Cumple",E19*110%&gt;F19,"No cumple")</f>
        <v/>
      </c>
      <c r="N19" s="890" t="s">
        <v>53</v>
      </c>
      <c r="O19" s="891">
        <v>0.09</v>
      </c>
      <c r="P19" s="891">
        <v>0.09</v>
      </c>
      <c r="Q19" s="891">
        <v>0.12</v>
      </c>
      <c r="R19" s="891">
        <v>0.12</v>
      </c>
      <c r="S19" s="891">
        <v>0.17</v>
      </c>
      <c r="T19" s="891">
        <v>0.17</v>
      </c>
      <c r="U19" s="891">
        <v>0.12</v>
      </c>
      <c r="V19" s="891">
        <v>0.12</v>
      </c>
      <c r="W19" s="318">
        <v>0.12</v>
      </c>
      <c r="X19" s="318">
        <v>0.12</v>
      </c>
      <c r="Y19" s="318">
        <v>0.1</v>
      </c>
      <c r="Z19" s="318">
        <v>0.1</v>
      </c>
      <c r="AA19" s="318">
        <v>0.17</v>
      </c>
      <c r="AB19" s="318">
        <v>0.17</v>
      </c>
      <c r="AC19" s="318">
        <v>0.12</v>
      </c>
    </row>
    <row r="20" spans="2:29" ht="13.5" thickBot="1">
      <c r="B20" s="1013" t="s">
        <v>54</v>
      </c>
      <c r="C20" s="1014"/>
      <c r="D20" s="1014"/>
      <c r="E20" s="1015"/>
      <c r="F20" s="1016" t="str" cm="1">
        <f t="array" aca="1" ref="F20" ca="1">IFERROR(+_xlfn.XLOOKUP($C$3,$N$8:$N$16,INDIRECT(_xlfn.CONCAT(SUBSTITUTE(D20," ","_"),_xlfn.SWITCH(C20,"Contra espacios no acondicionados y terreno","_int","Contra clima exterior","_ext")))),"")</f>
        <v/>
      </c>
      <c r="G20" s="7"/>
      <c r="H20" s="1024" t="str" cm="1">
        <f t="array" aca="1" ref="H20" ca="1">_xlfn.IFS(OR(E20="",F20=""),"",E20&lt;=F20,"Cumple",E20&gt;F20,"No cumple")</f>
        <v/>
      </c>
      <c r="I20" s="1025" t="str" cm="1">
        <f t="array" aca="1" ref="I20" ca="1">_xlfn.IFS(OR(E20="",F20=""),"",E20*110%&lt;=F20,"Cumple",E20*110%&gt;F20,"No cumple")</f>
        <v/>
      </c>
      <c r="N20" s="890" t="s">
        <v>55</v>
      </c>
      <c r="O20" s="891">
        <v>0.05</v>
      </c>
      <c r="P20" s="891">
        <v>0.05</v>
      </c>
      <c r="Q20" s="891">
        <v>0.05</v>
      </c>
      <c r="R20" s="891">
        <v>0.05</v>
      </c>
      <c r="S20" s="891">
        <v>0.05</v>
      </c>
      <c r="T20" s="891">
        <v>0.05</v>
      </c>
      <c r="U20" s="891">
        <v>0.05</v>
      </c>
      <c r="V20" s="891">
        <v>0.05</v>
      </c>
      <c r="W20" s="318">
        <v>0.12</v>
      </c>
      <c r="X20" s="318">
        <v>0.12</v>
      </c>
      <c r="Y20" s="318">
        <v>0.1</v>
      </c>
      <c r="Z20" s="318">
        <v>0.1</v>
      </c>
      <c r="AA20" s="318">
        <v>0.17</v>
      </c>
      <c r="AB20" s="318">
        <v>0.17</v>
      </c>
      <c r="AC20" s="318">
        <v>0.12</v>
      </c>
    </row>
    <row r="21" spans="2:29">
      <c r="B21" s="1017" t="s">
        <v>56</v>
      </c>
      <c r="C21" s="1005"/>
      <c r="D21" s="1005"/>
      <c r="E21" s="1006"/>
      <c r="F21" s="1018" t="str" cm="1">
        <f t="array" aca="1" ref="F21" ca="1">IFERROR(+_xlfn.XLOOKUP($C$3,$N$8:$N$16,INDIRECT(_xlfn.CONCAT(SUBSTITUTE(D21," ","_"),_xlfn.SWITCH(C21,"Contra espacios no acondicionados y terreno","_int","Contra clima exterior","_ext")))),"")</f>
        <v/>
      </c>
      <c r="G21" s="7"/>
      <c r="H21" s="1020" t="str" cm="1">
        <f t="array" aca="1" ref="H21" ca="1">_xlfn.IFS(OR(E21="",F21=""),"",E21&lt;=F21,"Cumple",E21&gt;F21,"No cumple")</f>
        <v/>
      </c>
      <c r="I21" s="1021" t="str" cm="1">
        <f t="array" aca="1" ref="I21" ca="1">_xlfn.IFS(OR(E21="",F21=""),"",E21*110%&lt;=F21,"Cumple",E21*110%&gt;F21,"No cumple")</f>
        <v/>
      </c>
      <c r="J21" s="887"/>
      <c r="K21" s="887"/>
      <c r="L21" s="887"/>
      <c r="M21" s="887"/>
    </row>
    <row r="22" spans="2:29">
      <c r="B22" s="1009" t="s">
        <v>57</v>
      </c>
      <c r="C22" s="1010"/>
      <c r="D22" s="1010"/>
      <c r="E22" s="1011"/>
      <c r="F22" s="1012" t="str" cm="1">
        <f t="array" aca="1" ref="F22" ca="1">IFERROR(+_xlfn.XLOOKUP($C$3,$N$8:$N$16,INDIRECT(_xlfn.CONCAT(SUBSTITUTE(D22," ","_"),_xlfn.SWITCH(C22,"Contra espacios no acondicionados y terreno","_int","Contra clima exterior","_ext")))),"")</f>
        <v/>
      </c>
      <c r="G22" s="7"/>
      <c r="H22" s="1022" t="str" cm="1">
        <f t="array" aca="1" ref="H22" ca="1">_xlfn.IFS(OR(E22="",F22=""),"",E22&lt;=F22,"Cumple",E22&gt;F22,"No cumple")</f>
        <v/>
      </c>
      <c r="I22" s="1023" t="str" cm="1">
        <f t="array" aca="1" ref="I22" ca="1">_xlfn.IFS(OR(E22="",F22=""),"",E22*110%&lt;=F22,"Cumple",E22*110%&gt;F22,"No cumple")</f>
        <v/>
      </c>
    </row>
    <row r="23" spans="2:29" ht="13.5" thickBot="1">
      <c r="B23" s="1013" t="s">
        <v>123</v>
      </c>
      <c r="C23" s="1014"/>
      <c r="D23" s="1014"/>
      <c r="E23" s="1015"/>
      <c r="F23" s="1016" t="str" cm="1">
        <f t="array" aca="1" ref="F23" ca="1">IFERROR(+_xlfn.XLOOKUP($C$3,$N$8:$N$16,INDIRECT(_xlfn.CONCAT(SUBSTITUTE(D23," ","_"),_xlfn.SWITCH(C23,"Contra espacios no acondicionados y terreno","_int","Contra clima exterior","_ext")))),"")</f>
        <v/>
      </c>
      <c r="G23" s="7"/>
      <c r="H23" s="1024" t="str" cm="1">
        <f t="array" aca="1" ref="H23" ca="1">_xlfn.IFS(OR(E23="",F23=""),"",E23&lt;=F23,"Cumple",E23&gt;F23,"No cumple")</f>
        <v/>
      </c>
      <c r="I23" s="1025" t="str" cm="1">
        <f t="array" aca="1" ref="I23" ca="1">_xlfn.IFS(OR(E23="",F23=""),"",E23*110%&lt;=F23,"Cumple",E23*110%&gt;F23,"No cumple")</f>
        <v/>
      </c>
    </row>
    <row r="27" spans="2:29" s="23" customFormat="1">
      <c r="B27" s="652" t="s">
        <v>58</v>
      </c>
      <c r="P27" s="24"/>
      <c r="Q27" s="24"/>
      <c r="R27" s="24"/>
      <c r="S27" s="24"/>
      <c r="T27" s="24"/>
      <c r="U27" s="24"/>
      <c r="V27" s="24"/>
    </row>
    <row r="28" spans="2:29" s="23" customFormat="1">
      <c r="B28" s="25" t="s">
        <v>59</v>
      </c>
      <c r="P28" s="24"/>
      <c r="Q28" s="24"/>
      <c r="R28" s="24"/>
      <c r="S28" s="24"/>
      <c r="T28" s="24"/>
      <c r="U28" s="24"/>
      <c r="V28" s="24"/>
    </row>
    <row r="29" spans="2:29">
      <c r="O29" s="1553"/>
      <c r="P29" s="1553"/>
      <c r="Q29" s="1553"/>
      <c r="R29" s="1553"/>
      <c r="S29" s="1553"/>
      <c r="T29" s="1553"/>
      <c r="U29" s="1553"/>
      <c r="V29" s="1553"/>
      <c r="W29" s="1553"/>
      <c r="X29" s="1553"/>
      <c r="Y29" s="1553"/>
    </row>
    <row r="30" spans="2:29" ht="12.6" customHeight="1">
      <c r="B30" s="1077" t="s">
        <v>60</v>
      </c>
      <c r="C30" s="1077"/>
      <c r="D30" s="1077"/>
      <c r="E30" s="1077"/>
      <c r="F30" s="1077"/>
      <c r="O30" s="1553"/>
      <c r="Q30" s="1099"/>
      <c r="R30" s="1099"/>
      <c r="S30" s="1099"/>
      <c r="T30" s="1099"/>
      <c r="U30" s="1099"/>
      <c r="V30" s="1099"/>
      <c r="W30" s="1099"/>
      <c r="X30" s="1099"/>
      <c r="Y30" s="1099"/>
    </row>
    <row r="31" spans="2:29">
      <c r="B31" s="1078" t="s">
        <v>61</v>
      </c>
      <c r="C31" s="1078"/>
      <c r="D31" s="1078"/>
      <c r="E31" s="1078"/>
      <c r="F31" s="1078"/>
      <c r="H31" s="1553"/>
      <c r="I31" s="1553"/>
      <c r="J31" s="1553"/>
      <c r="K31" s="1553"/>
      <c r="L31" s="1553"/>
      <c r="O31" s="1553"/>
      <c r="Q31" s="1099"/>
      <c r="R31" s="1099"/>
      <c r="S31" s="1099"/>
      <c r="T31" s="1099"/>
      <c r="U31" s="1099"/>
      <c r="V31" s="1099"/>
      <c r="W31" s="1099"/>
      <c r="X31" s="1099"/>
      <c r="Y31" s="1099"/>
    </row>
    <row r="32" spans="2:29">
      <c r="B32" s="1078" t="s">
        <v>62</v>
      </c>
      <c r="C32" s="1078"/>
      <c r="D32" s="1078"/>
      <c r="E32" s="1078"/>
      <c r="F32" s="1078"/>
      <c r="O32" s="1553"/>
      <c r="Q32" s="1099"/>
      <c r="R32" s="1099"/>
      <c r="S32" s="1099"/>
      <c r="T32" s="1099"/>
      <c r="U32" s="1099"/>
      <c r="V32" s="1099"/>
      <c r="W32" s="1099"/>
      <c r="X32" s="1099"/>
      <c r="Y32" s="1099"/>
    </row>
    <row r="33" spans="2:25">
      <c r="B33" s="1078" t="s">
        <v>63</v>
      </c>
      <c r="C33" s="1078"/>
      <c r="D33" s="1078"/>
      <c r="E33" s="1078"/>
      <c r="F33" s="1078"/>
      <c r="O33" s="1553"/>
      <c r="Q33" s="1099"/>
      <c r="R33" s="1099"/>
      <c r="S33" s="1099"/>
      <c r="T33" s="1099"/>
      <c r="U33" s="1099"/>
      <c r="V33" s="1099"/>
      <c r="W33" s="1099"/>
      <c r="X33" s="1099"/>
      <c r="Y33" s="1099"/>
    </row>
    <row r="34" spans="2:25" ht="13.5" thickBot="1">
      <c r="C34" s="9"/>
      <c r="O34" s="1553"/>
      <c r="Q34" s="1099"/>
      <c r="R34" s="1099"/>
      <c r="S34" s="1099"/>
      <c r="T34" s="1099"/>
      <c r="U34" s="1099"/>
      <c r="V34" s="1099"/>
      <c r="W34" s="1099"/>
      <c r="X34" s="1099"/>
      <c r="Y34" s="1099"/>
    </row>
    <row r="35" spans="2:25" ht="13.5" thickBot="1">
      <c r="B35" s="82" t="s">
        <v>64</v>
      </c>
      <c r="C35" s="962"/>
      <c r="H35" s="1100" t="s">
        <v>124</v>
      </c>
      <c r="I35" s="1101"/>
      <c r="O35" s="1553"/>
      <c r="Q35" s="1099"/>
      <c r="R35" s="1099"/>
      <c r="S35" s="1099"/>
      <c r="T35" s="1099"/>
      <c r="U35" s="1099"/>
      <c r="V35" s="1099"/>
      <c r="W35" s="1099"/>
      <c r="X35" s="1099"/>
      <c r="Y35" s="1099"/>
    </row>
    <row r="36" spans="2:25" ht="13.5" thickBot="1">
      <c r="B36" s="82" t="s">
        <v>66</v>
      </c>
      <c r="C36" s="963"/>
      <c r="H36" s="896" t="s">
        <v>125</v>
      </c>
      <c r="I36" s="885" t="e" cm="1">
        <f t="array" aca="1" ref="I36" ca="1">+_xlfn.XLOOKUP(C3,$N$8:$N$16,INDIRECT(_xlfn.CONCAT(SUBSTITUTE(C36," ","_"),_xlfn.SWITCH(C35,"Contra espacios no acondicionados y terreno","_int","Contra clima exterior","_ext"))))</f>
        <v>#N/A</v>
      </c>
      <c r="O36" s="1553"/>
      <c r="Q36" s="1099"/>
      <c r="R36" s="1099"/>
      <c r="S36" s="1099"/>
      <c r="T36" s="1099"/>
      <c r="U36" s="1099"/>
      <c r="V36" s="1099"/>
      <c r="W36" s="1099"/>
      <c r="X36" s="1099"/>
      <c r="Y36" s="1099"/>
    </row>
    <row r="37" spans="2:25" ht="13.5" thickBot="1">
      <c r="H37" s="94" t="s">
        <v>126</v>
      </c>
      <c r="I37" s="150" t="e" cm="1">
        <f t="array" aca="1" ref="I37" ca="1">_xlfn.IFS(F51&lt;=I36,"Cumple",F51&gt;I36,"No cumple")</f>
        <v>#N/A</v>
      </c>
      <c r="O37" s="1553"/>
      <c r="Q37" s="1099"/>
      <c r="R37" s="1099"/>
      <c r="S37" s="1099"/>
      <c r="T37" s="1099"/>
      <c r="U37" s="1099"/>
      <c r="V37" s="1099"/>
      <c r="W37" s="1099"/>
      <c r="X37" s="1099"/>
      <c r="Y37" s="1099"/>
    </row>
    <row r="38" spans="2:25" ht="13.5" thickBot="1">
      <c r="O38" s="1553"/>
      <c r="Q38" s="1099"/>
      <c r="R38" s="1099"/>
      <c r="S38" s="1099"/>
      <c r="T38" s="1099"/>
      <c r="U38" s="1099"/>
      <c r="V38" s="1099"/>
      <c r="W38" s="1099"/>
      <c r="X38" s="1099"/>
      <c r="Y38" s="1099"/>
    </row>
    <row r="39" spans="2:25" s="139" customFormat="1" ht="25.5" customHeight="1" thickBot="1">
      <c r="B39" s="94" t="s">
        <v>69</v>
      </c>
      <c r="C39" s="151" t="s">
        <v>70</v>
      </c>
      <c r="D39" s="58" t="s">
        <v>71</v>
      </c>
      <c r="E39" s="59" t="s">
        <v>72</v>
      </c>
      <c r="F39" s="57" t="s">
        <v>73</v>
      </c>
      <c r="H39" s="1059" t="s">
        <v>127</v>
      </c>
      <c r="I39" s="1059"/>
      <c r="J39" s="1059"/>
      <c r="K39" s="1059"/>
      <c r="L39" s="1059"/>
      <c r="O39" s="1553"/>
      <c r="P39" s="1"/>
      <c r="Q39" s="1099"/>
      <c r="R39" s="1099"/>
      <c r="S39" s="1099"/>
      <c r="T39" s="1099"/>
      <c r="U39" s="1099"/>
      <c r="V39" s="1099"/>
      <c r="W39" s="1099"/>
      <c r="X39" s="1099"/>
      <c r="Y39" s="1099"/>
    </row>
    <row r="40" spans="2:25" ht="13.5" thickBot="1">
      <c r="B40" s="140" t="s">
        <v>75</v>
      </c>
      <c r="C40" s="141"/>
      <c r="D40" s="141"/>
      <c r="E40" s="142"/>
      <c r="F40" s="889" t="e" cm="1">
        <f t="array" ref="F40">+_xlfn.IFS(C35=$O$6,_xlfn.XLOOKUP(C36,Contra_clima_exterior,$O$19:$V$19),C35=$W$6,_xlfn.XLOOKUP(C36,Contra_espacios_no_acondicionados_y_terreno,$W$19:$AC$19))</f>
        <v>#N/A</v>
      </c>
      <c r="H40" s="1059"/>
      <c r="I40" s="1059"/>
      <c r="J40" s="1059"/>
      <c r="K40" s="1059"/>
      <c r="L40" s="1059"/>
      <c r="Q40" s="1099"/>
      <c r="R40" s="1099"/>
      <c r="S40" s="1099"/>
      <c r="T40" s="1099"/>
      <c r="U40" s="1099"/>
      <c r="V40" s="1099"/>
      <c r="W40" s="1099"/>
      <c r="X40" s="1099"/>
      <c r="Y40" s="1099"/>
    </row>
    <row r="41" spans="2:25">
      <c r="B41" s="86"/>
      <c r="C41" s="508"/>
      <c r="D41" s="509"/>
      <c r="E41" s="510"/>
      <c r="F41" s="143" t="str">
        <f>IFERROR(C41/E41,"")</f>
        <v/>
      </c>
      <c r="H41" s="1059"/>
      <c r="I41" s="1059"/>
      <c r="J41" s="1059"/>
      <c r="K41" s="1059"/>
      <c r="L41" s="1059"/>
      <c r="Q41" s="1099"/>
      <c r="R41" s="1099"/>
      <c r="S41" s="1099"/>
      <c r="T41" s="1099"/>
      <c r="U41" s="1099"/>
      <c r="V41" s="1099"/>
      <c r="W41" s="1099"/>
      <c r="X41" s="1099"/>
      <c r="Y41" s="1099"/>
    </row>
    <row r="42" spans="2:25">
      <c r="B42" s="84"/>
      <c r="C42" s="511"/>
      <c r="D42" s="512"/>
      <c r="E42" s="513"/>
      <c r="F42" s="144" t="str">
        <f t="shared" ref="F42:F48" si="0">IFERROR(C42/E42,"")</f>
        <v/>
      </c>
      <c r="H42" s="1059"/>
      <c r="I42" s="1059"/>
      <c r="J42" s="1059"/>
      <c r="K42" s="1059"/>
      <c r="L42" s="1059"/>
      <c r="Q42" s="1099"/>
      <c r="R42" s="1099"/>
      <c r="S42" s="1099"/>
      <c r="T42" s="1099"/>
      <c r="U42" s="1099"/>
      <c r="V42" s="1099"/>
      <c r="W42" s="1099"/>
      <c r="X42" s="1099"/>
      <c r="Y42" s="1099"/>
    </row>
    <row r="43" spans="2:25">
      <c r="B43" s="84"/>
      <c r="C43" s="511"/>
      <c r="D43" s="512"/>
      <c r="E43" s="513"/>
      <c r="F43" s="144" t="str">
        <f t="shared" si="0"/>
        <v/>
      </c>
      <c r="H43" s="1059"/>
      <c r="I43" s="1059"/>
      <c r="J43" s="1059"/>
      <c r="K43" s="1059"/>
      <c r="L43" s="1059"/>
      <c r="Q43" s="1099"/>
      <c r="R43" s="1099"/>
      <c r="S43" s="1099"/>
      <c r="T43" s="1099"/>
      <c r="U43" s="1099"/>
      <c r="V43" s="1099"/>
      <c r="W43" s="1099"/>
      <c r="X43" s="1099"/>
      <c r="Y43" s="1099"/>
    </row>
    <row r="44" spans="2:25">
      <c r="B44" s="84"/>
      <c r="C44" s="511"/>
      <c r="D44" s="512"/>
      <c r="E44" s="513"/>
      <c r="F44" s="144" t="str">
        <f t="shared" si="0"/>
        <v/>
      </c>
      <c r="H44" s="1059"/>
      <c r="I44" s="1059"/>
      <c r="J44" s="1059"/>
      <c r="K44" s="1059"/>
      <c r="L44" s="1059"/>
      <c r="Q44" s="1099"/>
      <c r="R44" s="1099"/>
      <c r="S44" s="1099"/>
      <c r="T44" s="1099"/>
      <c r="U44" s="1099"/>
      <c r="V44" s="1099"/>
      <c r="W44" s="1099"/>
      <c r="X44" s="1099"/>
      <c r="Y44" s="1099"/>
    </row>
    <row r="45" spans="2:25">
      <c r="B45" s="84"/>
      <c r="C45" s="511"/>
      <c r="D45" s="512"/>
      <c r="E45" s="513"/>
      <c r="F45" s="144" t="str">
        <f t="shared" si="0"/>
        <v/>
      </c>
      <c r="H45" s="1059"/>
      <c r="I45" s="1059"/>
      <c r="J45" s="1059"/>
      <c r="K45" s="1059"/>
      <c r="L45" s="1059"/>
      <c r="Q45" s="1099"/>
      <c r="R45" s="1099"/>
      <c r="S45" s="1099"/>
      <c r="T45" s="1099"/>
      <c r="U45" s="1099"/>
      <c r="V45" s="1099"/>
      <c r="W45" s="1099"/>
      <c r="X45" s="1099"/>
      <c r="Y45" s="1099"/>
    </row>
    <row r="46" spans="2:25">
      <c r="B46" s="84"/>
      <c r="C46" s="511"/>
      <c r="D46" s="512"/>
      <c r="E46" s="513"/>
      <c r="F46" s="144" t="str">
        <f t="shared" si="0"/>
        <v/>
      </c>
      <c r="H46" s="1059"/>
      <c r="I46" s="1059"/>
      <c r="J46" s="1059"/>
      <c r="K46" s="1059"/>
      <c r="L46" s="1059"/>
      <c r="Q46" s="1099"/>
      <c r="R46" s="1099"/>
      <c r="S46" s="1099"/>
      <c r="T46" s="1099"/>
      <c r="U46" s="1099"/>
      <c r="V46" s="1099"/>
      <c r="W46" s="1099"/>
      <c r="X46" s="1099"/>
      <c r="Y46" s="1099"/>
    </row>
    <row r="47" spans="2:25">
      <c r="B47" s="84"/>
      <c r="C47" s="511"/>
      <c r="D47" s="512"/>
      <c r="E47" s="513"/>
      <c r="F47" s="144" t="str">
        <f t="shared" si="0"/>
        <v/>
      </c>
      <c r="H47" s="1059"/>
      <c r="I47" s="1059"/>
      <c r="J47" s="1059"/>
      <c r="K47" s="1059"/>
      <c r="L47" s="1059"/>
      <c r="Q47" s="1099"/>
      <c r="R47" s="1099"/>
      <c r="S47" s="1099"/>
      <c r="T47" s="1099"/>
      <c r="U47" s="1099"/>
      <c r="V47" s="1099"/>
      <c r="W47" s="1099"/>
      <c r="X47" s="1099"/>
      <c r="Y47" s="1099"/>
    </row>
    <row r="48" spans="2:25" ht="13.5" thickBot="1">
      <c r="B48" s="85"/>
      <c r="C48" s="514"/>
      <c r="D48" s="515"/>
      <c r="E48" s="516"/>
      <c r="F48" s="145" t="str">
        <f t="shared" si="0"/>
        <v/>
      </c>
      <c r="H48" s="1059"/>
      <c r="I48" s="1059"/>
      <c r="J48" s="1059"/>
      <c r="K48" s="1059"/>
      <c r="L48" s="1059"/>
      <c r="Q48" s="1099"/>
      <c r="R48" s="1099"/>
      <c r="S48" s="1099"/>
      <c r="T48" s="1099"/>
      <c r="U48" s="1099"/>
      <c r="V48" s="1099"/>
      <c r="W48" s="1099"/>
      <c r="X48" s="1099"/>
      <c r="Y48" s="1099"/>
    </row>
    <row r="49" spans="2:25" ht="13.5" thickBot="1">
      <c r="B49" s="140" t="s">
        <v>78</v>
      </c>
      <c r="C49" s="141"/>
      <c r="D49" s="141"/>
      <c r="E49" s="142"/>
      <c r="F49" s="889" t="e" cm="1">
        <f t="array" ref="F49">+_xlfn.IFS(C35=$O$6,_xlfn.XLOOKUP(C36,Contra_clima_exterior,$O$20:$V$20),C35=$W$6,_xlfn.XLOOKUP(C36,Contra_espacios_no_acondicionados_y_terreno,$W$20:$AC$20))</f>
        <v>#N/A</v>
      </c>
      <c r="H49" s="1059"/>
      <c r="I49" s="1059"/>
      <c r="J49" s="1059"/>
      <c r="K49" s="1059"/>
      <c r="L49" s="1059"/>
      <c r="Q49" s="1099"/>
      <c r="R49" s="1099"/>
      <c r="S49" s="1099"/>
      <c r="T49" s="1099"/>
      <c r="U49" s="1099"/>
      <c r="V49" s="1099"/>
      <c r="W49" s="1099"/>
      <c r="X49" s="1099"/>
      <c r="Y49" s="1099"/>
    </row>
    <row r="50" spans="2:25">
      <c r="B50" s="1554" t="s">
        <v>79</v>
      </c>
      <c r="C50" s="1555"/>
      <c r="D50" s="1555"/>
      <c r="E50" s="1556"/>
      <c r="F50" s="146" t="e">
        <f>SUM(F40:F49)</f>
        <v>#N/A</v>
      </c>
      <c r="H50" s="1059"/>
      <c r="I50" s="1059"/>
      <c r="J50" s="1059"/>
      <c r="K50" s="1059"/>
      <c r="L50" s="1059"/>
      <c r="Q50" s="1099"/>
      <c r="R50" s="1099"/>
      <c r="S50" s="1099"/>
      <c r="T50" s="1099"/>
      <c r="U50" s="1099"/>
      <c r="V50" s="1099"/>
      <c r="W50" s="1099"/>
      <c r="X50" s="1099"/>
      <c r="Y50" s="1099"/>
    </row>
    <row r="51" spans="2:25" ht="13.5" thickBot="1">
      <c r="B51" s="1557" t="s">
        <v>80</v>
      </c>
      <c r="C51" s="1558"/>
      <c r="D51" s="1558"/>
      <c r="E51" s="1559"/>
      <c r="F51" s="147" t="e">
        <f>1/F50</f>
        <v>#N/A</v>
      </c>
      <c r="H51" s="1059"/>
      <c r="I51" s="1059"/>
      <c r="J51" s="1059"/>
      <c r="K51" s="1059"/>
      <c r="L51" s="1059"/>
      <c r="Q51" s="1099"/>
      <c r="R51" s="1099"/>
      <c r="S51" s="1099"/>
      <c r="T51" s="1099"/>
      <c r="U51" s="1099"/>
      <c r="V51" s="1099"/>
      <c r="W51" s="1099"/>
      <c r="X51" s="1099"/>
      <c r="Y51" s="1099"/>
    </row>
    <row r="53" spans="2:25" s="23" customFormat="1">
      <c r="B53" s="25" t="s">
        <v>81</v>
      </c>
      <c r="P53" s="24"/>
      <c r="Q53" s="24"/>
      <c r="R53" s="24"/>
      <c r="S53" s="24"/>
      <c r="T53" s="24"/>
      <c r="U53" s="24"/>
      <c r="V53" s="24"/>
    </row>
    <row r="55" spans="2:25" ht="12.6" customHeight="1">
      <c r="B55" s="1077" t="s">
        <v>82</v>
      </c>
      <c r="C55" s="1077"/>
      <c r="D55" s="1077"/>
      <c r="E55" s="1077"/>
      <c r="F55" s="1077"/>
    </row>
    <row r="56" spans="2:25" ht="12.6" customHeight="1">
      <c r="B56" s="1078" t="s">
        <v>83</v>
      </c>
      <c r="C56" s="1078"/>
      <c r="D56" s="1078"/>
      <c r="E56" s="1078"/>
      <c r="F56" s="1078"/>
      <c r="H56" s="1553"/>
      <c r="I56" s="1553"/>
      <c r="J56" s="1553"/>
      <c r="K56" s="1553"/>
      <c r="L56" s="1553"/>
    </row>
    <row r="57" spans="2:25" ht="12.6" customHeight="1">
      <c r="B57" s="1078" t="s">
        <v>84</v>
      </c>
      <c r="C57" s="1078"/>
      <c r="D57" s="1078"/>
      <c r="E57" s="1078"/>
      <c r="F57" s="1078"/>
    </row>
    <row r="58" spans="2:25" ht="12.6" customHeight="1">
      <c r="B58" s="1078" t="s">
        <v>85</v>
      </c>
      <c r="C58" s="1078"/>
      <c r="D58" s="1078"/>
      <c r="E58" s="1078"/>
      <c r="F58" s="1078"/>
    </row>
    <row r="59" spans="2:25" ht="13.5" thickBot="1"/>
    <row r="60" spans="2:25" ht="13.5" thickBot="1">
      <c r="B60" s="82" t="s">
        <v>64</v>
      </c>
      <c r="C60" s="962"/>
      <c r="H60" s="1100" t="s">
        <v>124</v>
      </c>
      <c r="I60" s="1101"/>
    </row>
    <row r="61" spans="2:25" ht="13.5" thickBot="1">
      <c r="B61" s="82" t="s">
        <v>66</v>
      </c>
      <c r="C61" s="963"/>
      <c r="H61" s="896" t="s">
        <v>125</v>
      </c>
      <c r="I61" s="885" t="e" cm="1">
        <f t="array" aca="1" ref="I61" ca="1">+_xlfn.XLOOKUP(C3,$N$8:$N$16,INDIRECT(_xlfn.CONCAT(SUBSTITUTE(C61," ","_"),_xlfn.SWITCH(C60,"Contra espacios no acondicionados y terreno","_int","Contra clima exterior","_ext"))))</f>
        <v>#N/A</v>
      </c>
    </row>
    <row r="62" spans="2:25" ht="13.5" thickBot="1">
      <c r="H62" s="94" t="s">
        <v>126</v>
      </c>
      <c r="I62" s="895" t="str" cm="1">
        <f t="array" aca="1" ref="I62" ca="1">IFERROR(_xlfn.IFS(E98&lt;=I61,"Cumple",E98&gt;I61,"No cumple"),"Completar cálculo")</f>
        <v>Completar cálculo</v>
      </c>
    </row>
    <row r="63" spans="2:25" ht="13.5" thickBot="1"/>
    <row r="64" spans="2:25" ht="13.5" customHeight="1" thickBot="1">
      <c r="B64" s="1068" t="s">
        <v>86</v>
      </c>
      <c r="C64" s="1069"/>
      <c r="D64" s="1069"/>
      <c r="E64" s="1069"/>
      <c r="F64" s="1070"/>
      <c r="H64" s="894"/>
      <c r="I64" s="894"/>
      <c r="J64" s="894"/>
      <c r="K64" s="894"/>
      <c r="L64" s="894"/>
    </row>
    <row r="65" spans="2:12" s="139" customFormat="1" ht="26.25" thickBot="1">
      <c r="B65" s="94" t="s">
        <v>69</v>
      </c>
      <c r="C65" s="151" t="s">
        <v>70</v>
      </c>
      <c r="D65" s="58" t="s">
        <v>71</v>
      </c>
      <c r="E65" s="59" t="s">
        <v>72</v>
      </c>
      <c r="F65" s="57" t="s">
        <v>73</v>
      </c>
      <c r="H65" s="894"/>
      <c r="I65" s="894"/>
      <c r="J65" s="894"/>
      <c r="K65" s="894"/>
      <c r="L65" s="894"/>
    </row>
    <row r="66" spans="2:12" ht="13.5" thickBot="1">
      <c r="B66" s="140" t="s">
        <v>75</v>
      </c>
      <c r="C66" s="141"/>
      <c r="D66" s="141"/>
      <c r="E66" s="142"/>
      <c r="F66" s="889" t="e" cm="1">
        <f t="array" ref="F66">+_xlfn.IFS(C60=$O$6,_xlfn.XLOOKUP(C61,Contra_clima_exterior,$O$19:$V$19),C60=$W$6,_xlfn.XLOOKUP(C61,Contra_espacios_no_acondicionados_y_terreno,$W$19:$AC$19))</f>
        <v>#N/A</v>
      </c>
      <c r="H66" s="894"/>
      <c r="I66" s="894"/>
      <c r="J66" s="894"/>
      <c r="K66" s="894"/>
      <c r="L66" s="894"/>
    </row>
    <row r="67" spans="2:12">
      <c r="B67" s="86"/>
      <c r="C67" s="508"/>
      <c r="D67" s="509"/>
      <c r="E67" s="510"/>
      <c r="F67" s="143" t="str">
        <f t="shared" ref="F67:F74" si="1">IFERROR(C67/E67,"")</f>
        <v/>
      </c>
      <c r="H67" s="894"/>
      <c r="I67" s="894"/>
      <c r="J67" s="894"/>
      <c r="K67" s="894"/>
      <c r="L67" s="894"/>
    </row>
    <row r="68" spans="2:12">
      <c r="B68" s="84"/>
      <c r="C68" s="511"/>
      <c r="D68" s="512"/>
      <c r="E68" s="513"/>
      <c r="F68" s="144" t="str">
        <f t="shared" si="1"/>
        <v/>
      </c>
      <c r="H68" s="894"/>
      <c r="I68" s="894"/>
      <c r="J68" s="894"/>
      <c r="K68" s="894"/>
      <c r="L68" s="894"/>
    </row>
    <row r="69" spans="2:12">
      <c r="B69" s="84"/>
      <c r="C69" s="511"/>
      <c r="D69" s="512"/>
      <c r="E69" s="513"/>
      <c r="F69" s="144" t="str">
        <f t="shared" si="1"/>
        <v/>
      </c>
      <c r="H69" s="894"/>
      <c r="I69" s="894"/>
      <c r="J69" s="894"/>
      <c r="K69" s="894"/>
      <c r="L69" s="894"/>
    </row>
    <row r="70" spans="2:12">
      <c r="B70" s="84"/>
      <c r="C70" s="511"/>
      <c r="D70" s="512"/>
      <c r="E70" s="513"/>
      <c r="F70" s="144" t="str">
        <f t="shared" si="1"/>
        <v/>
      </c>
      <c r="H70" s="894"/>
      <c r="I70" s="894"/>
      <c r="J70" s="894"/>
      <c r="K70" s="894"/>
      <c r="L70" s="894"/>
    </row>
    <row r="71" spans="2:12">
      <c r="B71" s="84"/>
      <c r="C71" s="511"/>
      <c r="D71" s="512"/>
      <c r="E71" s="513"/>
      <c r="F71" s="144" t="str">
        <f t="shared" si="1"/>
        <v/>
      </c>
      <c r="H71" s="894"/>
      <c r="I71" s="894"/>
      <c r="J71" s="894"/>
      <c r="K71" s="894"/>
      <c r="L71" s="894"/>
    </row>
    <row r="72" spans="2:12">
      <c r="B72" s="84"/>
      <c r="C72" s="511"/>
      <c r="D72" s="512"/>
      <c r="E72" s="513"/>
      <c r="F72" s="144" t="str">
        <f t="shared" si="1"/>
        <v/>
      </c>
      <c r="H72" s="894"/>
      <c r="I72" s="894"/>
      <c r="J72" s="894"/>
      <c r="K72" s="894"/>
      <c r="L72" s="894"/>
    </row>
    <row r="73" spans="2:12">
      <c r="B73" s="84"/>
      <c r="C73" s="511"/>
      <c r="D73" s="512"/>
      <c r="E73" s="513"/>
      <c r="F73" s="144" t="str">
        <f t="shared" si="1"/>
        <v/>
      </c>
    </row>
    <row r="74" spans="2:12" ht="13.5" thickBot="1">
      <c r="B74" s="85"/>
      <c r="C74" s="514"/>
      <c r="D74" s="515"/>
      <c r="E74" s="516"/>
      <c r="F74" s="145" t="str">
        <f t="shared" si="1"/>
        <v/>
      </c>
    </row>
    <row r="75" spans="2:12" ht="13.5" thickBot="1">
      <c r="B75" s="140" t="s">
        <v>78</v>
      </c>
      <c r="C75" s="141"/>
      <c r="D75" s="141"/>
      <c r="E75" s="142"/>
      <c r="F75" s="889" t="e" cm="1">
        <f t="array" ref="F75">+_xlfn.IFS(C60=$O$6,_xlfn.XLOOKUP(C61,Contra_clima_exterior,$O$20:$V$20),C60=$W$6,_xlfn.XLOOKUP(C61,Contra_espacios_no_acondicionados_y_terreno,$W$20:$AC$20))</f>
        <v>#N/A</v>
      </c>
    </row>
    <row r="76" spans="2:12">
      <c r="B76" s="1554" t="s">
        <v>79</v>
      </c>
      <c r="C76" s="1555"/>
      <c r="D76" s="1555"/>
      <c r="E76" s="1556"/>
      <c r="F76" s="146" t="e">
        <f>SUM(F66:F75)</f>
        <v>#N/A</v>
      </c>
    </row>
    <row r="77" spans="2:12" ht="13.5" thickBot="1">
      <c r="B77" s="1560" t="s">
        <v>87</v>
      </c>
      <c r="C77" s="1561"/>
      <c r="D77" s="1561"/>
      <c r="E77" s="1562"/>
      <c r="F77" s="150" t="str">
        <f>IFERROR(1/F76,"Completar")</f>
        <v>Completar</v>
      </c>
    </row>
    <row r="78" spans="2:12" ht="13.5" thickBot="1"/>
    <row r="79" spans="2:12" ht="13.5" thickBot="1">
      <c r="B79" s="1068" t="s">
        <v>88</v>
      </c>
      <c r="C79" s="1069"/>
      <c r="D79" s="1069"/>
      <c r="E79" s="1069"/>
      <c r="F79" s="1070"/>
    </row>
    <row r="80" spans="2:12" s="139" customFormat="1" ht="26.25" thickBot="1">
      <c r="B80" s="94" t="s">
        <v>69</v>
      </c>
      <c r="C80" s="151" t="s">
        <v>70</v>
      </c>
      <c r="D80" s="58" t="s">
        <v>71</v>
      </c>
      <c r="E80" s="59" t="s">
        <v>72</v>
      </c>
      <c r="F80" s="57" t="s">
        <v>73</v>
      </c>
    </row>
    <row r="81" spans="2:6" ht="13.5" thickBot="1">
      <c r="B81" s="140" t="s">
        <v>75</v>
      </c>
      <c r="C81" s="141"/>
      <c r="D81" s="141"/>
      <c r="E81" s="142"/>
      <c r="F81" s="889" t="e" cm="1">
        <f t="array" ref="F81">+_xlfn.IFS(C60=$O$6,_xlfn.XLOOKUP(C61,Contra_clima_exterior,$O$19:$V$19),C60=$W$6,_xlfn.XLOOKUP(C61,Contra_espacios_no_acondicionados_y_terreno,$W$19:$AC$19))</f>
        <v>#N/A</v>
      </c>
    </row>
    <row r="82" spans="2:6">
      <c r="B82" s="86"/>
      <c r="C82" s="508"/>
      <c r="D82" s="509"/>
      <c r="E82" s="510"/>
      <c r="F82" s="143" t="str">
        <f t="shared" ref="F82:F89" si="2">IFERROR(C82/E82,"")</f>
        <v/>
      </c>
    </row>
    <row r="83" spans="2:6">
      <c r="B83" s="84"/>
      <c r="C83" s="511"/>
      <c r="D83" s="512"/>
      <c r="E83" s="513"/>
      <c r="F83" s="144" t="str">
        <f t="shared" si="2"/>
        <v/>
      </c>
    </row>
    <row r="84" spans="2:6">
      <c r="B84" s="84"/>
      <c r="C84" s="511"/>
      <c r="D84" s="512"/>
      <c r="E84" s="513"/>
      <c r="F84" s="144" t="str">
        <f t="shared" si="2"/>
        <v/>
      </c>
    </row>
    <row r="85" spans="2:6">
      <c r="B85" s="84"/>
      <c r="C85" s="511"/>
      <c r="D85" s="512"/>
      <c r="E85" s="513"/>
      <c r="F85" s="144" t="str">
        <f t="shared" si="2"/>
        <v/>
      </c>
    </row>
    <row r="86" spans="2:6">
      <c r="B86" s="84"/>
      <c r="C86" s="511"/>
      <c r="D86" s="512"/>
      <c r="E86" s="513"/>
      <c r="F86" s="144" t="str">
        <f t="shared" si="2"/>
        <v/>
      </c>
    </row>
    <row r="87" spans="2:6">
      <c r="B87" s="84"/>
      <c r="C87" s="511"/>
      <c r="D87" s="512"/>
      <c r="E87" s="513"/>
      <c r="F87" s="144" t="str">
        <f t="shared" si="2"/>
        <v/>
      </c>
    </row>
    <row r="88" spans="2:6">
      <c r="B88" s="84"/>
      <c r="C88" s="511"/>
      <c r="D88" s="512"/>
      <c r="E88" s="513"/>
      <c r="F88" s="144" t="str">
        <f t="shared" si="2"/>
        <v/>
      </c>
    </row>
    <row r="89" spans="2:6" ht="13.5" thickBot="1">
      <c r="B89" s="85"/>
      <c r="C89" s="514"/>
      <c r="D89" s="515"/>
      <c r="E89" s="516"/>
      <c r="F89" s="145" t="str">
        <f t="shared" si="2"/>
        <v/>
      </c>
    </row>
    <row r="90" spans="2:6" ht="13.5" thickBot="1">
      <c r="B90" s="140" t="s">
        <v>78</v>
      </c>
      <c r="C90" s="141"/>
      <c r="D90" s="141"/>
      <c r="E90" s="142"/>
      <c r="F90" s="889" t="e" cm="1">
        <f t="array" ref="F90">+_xlfn.IFS(C60=$O$6,_xlfn.XLOOKUP(C61,Contra_clima_exterior,$O$20:$V$20),C60=$W$6,_xlfn.XLOOKUP(C61,Contra_espacios_no_acondicionados_y_terreno,$W$20:$AC$20))</f>
        <v>#N/A</v>
      </c>
    </row>
    <row r="91" spans="2:6">
      <c r="B91" s="1554" t="s">
        <v>79</v>
      </c>
      <c r="C91" s="1555"/>
      <c r="D91" s="1555"/>
      <c r="E91" s="1556"/>
      <c r="F91" s="146" t="e">
        <f>SUM(F81:F90)</f>
        <v>#N/A</v>
      </c>
    </row>
    <row r="92" spans="2:6" ht="13.5" thickBot="1">
      <c r="B92" s="1560" t="s">
        <v>89</v>
      </c>
      <c r="C92" s="1561"/>
      <c r="D92" s="1561"/>
      <c r="E92" s="1562"/>
      <c r="F92" s="150" t="str">
        <f>IFERROR(1/F91,"Completar")</f>
        <v>Completar</v>
      </c>
    </row>
    <row r="93" spans="2:6" ht="13.5" thickBot="1"/>
    <row r="94" spans="2:6" ht="13.5" thickBot="1">
      <c r="B94" s="1074" t="s">
        <v>90</v>
      </c>
      <c r="C94" s="1074"/>
      <c r="D94" s="1074"/>
      <c r="E94" s="1074"/>
      <c r="F94" s="1074"/>
    </row>
    <row r="95" spans="2:6" s="139" customFormat="1" ht="26.85" customHeight="1" thickBot="1">
      <c r="B95" s="94" t="s">
        <v>91</v>
      </c>
      <c r="C95" s="1075" t="s">
        <v>92</v>
      </c>
      <c r="D95" s="1075"/>
      <c r="E95" s="1075" t="s">
        <v>93</v>
      </c>
      <c r="F95" s="1075"/>
    </row>
    <row r="96" spans="2:6">
      <c r="B96" s="92" t="s">
        <v>94</v>
      </c>
      <c r="C96" s="1066"/>
      <c r="D96" s="1066"/>
      <c r="E96" s="1067" t="str">
        <f>IFERROR(F77*C96,"Completar Cálculos")</f>
        <v>Completar Cálculos</v>
      </c>
      <c r="F96" s="1067"/>
    </row>
    <row r="97" spans="2:22" ht="13.5" thickBot="1">
      <c r="B97" s="91" t="s">
        <v>95</v>
      </c>
      <c r="C97" s="1060">
        <f>1-C96</f>
        <v>1</v>
      </c>
      <c r="D97" s="1060"/>
      <c r="E97" s="1061" t="e">
        <f>(F92*C97)</f>
        <v>#VALUE!</v>
      </c>
      <c r="F97" s="1061"/>
    </row>
    <row r="98" spans="2:22" ht="13.5" thickBot="1">
      <c r="B98" s="1062" t="s">
        <v>96</v>
      </c>
      <c r="C98" s="1062"/>
      <c r="D98" s="1062"/>
      <c r="E98" s="858" t="e">
        <f>SUM(E96:F97)</f>
        <v>#VALUE!</v>
      </c>
      <c r="F98" s="859"/>
    </row>
    <row r="100" spans="2:22" s="899" customFormat="1" ht="27.6" customHeight="1">
      <c r="B100" s="900" t="s">
        <v>128</v>
      </c>
      <c r="P100" s="901"/>
      <c r="Q100" s="901"/>
      <c r="R100" s="901"/>
      <c r="S100" s="901"/>
      <c r="T100" s="901"/>
      <c r="U100" s="901"/>
      <c r="V100" s="901"/>
    </row>
    <row r="101" spans="2:22" ht="13.5" thickBot="1"/>
    <row r="102" spans="2:22" ht="13.5" thickBot="1">
      <c r="B102" s="82" t="s">
        <v>64</v>
      </c>
      <c r="C102" s="962"/>
      <c r="H102" s="1100" t="s">
        <v>124</v>
      </c>
      <c r="I102" s="1101"/>
    </row>
    <row r="103" spans="2:22" ht="13.5" thickBot="1">
      <c r="B103" s="82" t="s">
        <v>66</v>
      </c>
      <c r="C103" s="963"/>
      <c r="H103" s="896" t="s">
        <v>125</v>
      </c>
      <c r="I103" s="885" t="e" cm="1">
        <f t="array" aca="1" ref="I103" ca="1">+_xlfn.XLOOKUP($C$3,$N$8:$N$16,INDIRECT(_xlfn.CONCAT(SUBSTITUTE(C103," ","_"),_xlfn.SWITCH(C102,"Contra espacios no acondicionados y terreno","_int","Contra clima exterior","_ext"))))</f>
        <v>#N/A</v>
      </c>
    </row>
    <row r="104" spans="2:22" ht="13.5" thickBot="1">
      <c r="H104" s="94" t="s">
        <v>126</v>
      </c>
      <c r="I104" s="150" t="e" cm="1">
        <f t="array" aca="1" ref="I104" ca="1">_xlfn.IFS(F118&lt;=I103,"Cumple",F118&gt;I103,"No cumple")</f>
        <v>#N/A</v>
      </c>
    </row>
    <row r="105" spans="2:22" ht="13.5" thickBot="1"/>
    <row r="106" spans="2:22" ht="26.25" thickBot="1">
      <c r="B106" s="94" t="s">
        <v>69</v>
      </c>
      <c r="C106" s="151" t="s">
        <v>70</v>
      </c>
      <c r="D106" s="58" t="s">
        <v>71</v>
      </c>
      <c r="E106" s="59" t="s">
        <v>72</v>
      </c>
      <c r="F106" s="57" t="s">
        <v>73</v>
      </c>
      <c r="G106" s="139"/>
      <c r="H106" s="1102"/>
      <c r="I106" s="1102"/>
      <c r="J106" s="1102"/>
      <c r="K106" s="1102"/>
      <c r="L106" s="1102"/>
    </row>
    <row r="107" spans="2:22" ht="13.5" thickBot="1">
      <c r="B107" s="140" t="s">
        <v>75</v>
      </c>
      <c r="C107" s="141"/>
      <c r="D107" s="141"/>
      <c r="E107" s="142"/>
      <c r="F107" s="889" t="e" cm="1">
        <f t="array" ref="F107">+_xlfn.IFS(C102=$O$6,_xlfn.XLOOKUP(C103,Contra_clima_exterior,$O$19:$V$19),C102=$W$6,_xlfn.XLOOKUP(C103,Contra_espacios_no_acondicionados_y_terreno,$W$19:$AC$19))</f>
        <v>#N/A</v>
      </c>
      <c r="H107" s="1102"/>
      <c r="I107" s="1102"/>
      <c r="J107" s="1102"/>
      <c r="K107" s="1102"/>
      <c r="L107" s="1102"/>
    </row>
    <row r="108" spans="2:22">
      <c r="B108" s="86"/>
      <c r="C108" s="508"/>
      <c r="D108" s="509"/>
      <c r="E108" s="510"/>
      <c r="F108" s="143" t="str">
        <f t="shared" ref="F108:F115" si="3">IFERROR(C108/E108,"")</f>
        <v/>
      </c>
      <c r="H108" s="1102"/>
      <c r="I108" s="1102"/>
      <c r="J108" s="1102"/>
      <c r="K108" s="1102"/>
      <c r="L108" s="1102"/>
    </row>
    <row r="109" spans="2:22">
      <c r="B109" s="84"/>
      <c r="C109" s="511"/>
      <c r="D109" s="512"/>
      <c r="E109" s="513"/>
      <c r="F109" s="144" t="str">
        <f t="shared" si="3"/>
        <v/>
      </c>
      <c r="H109" s="1102"/>
      <c r="I109" s="1102"/>
      <c r="J109" s="1102"/>
      <c r="K109" s="1102"/>
      <c r="L109" s="1102"/>
    </row>
    <row r="110" spans="2:22">
      <c r="B110" s="84"/>
      <c r="C110" s="511"/>
      <c r="D110" s="512"/>
      <c r="E110" s="513"/>
      <c r="F110" s="144" t="str">
        <f t="shared" si="3"/>
        <v/>
      </c>
      <c r="H110" s="1102"/>
      <c r="I110" s="1102"/>
      <c r="J110" s="1102"/>
      <c r="K110" s="1102"/>
      <c r="L110" s="1102"/>
    </row>
    <row r="111" spans="2:22">
      <c r="B111" s="84"/>
      <c r="C111" s="511"/>
      <c r="D111" s="512"/>
      <c r="E111" s="513"/>
      <c r="F111" s="144" t="str">
        <f t="shared" si="3"/>
        <v/>
      </c>
      <c r="H111" s="1102"/>
      <c r="I111" s="1102"/>
      <c r="J111" s="1102"/>
      <c r="K111" s="1102"/>
      <c r="L111" s="1102"/>
    </row>
    <row r="112" spans="2:22">
      <c r="B112" s="84"/>
      <c r="C112" s="511"/>
      <c r="D112" s="512"/>
      <c r="E112" s="513"/>
      <c r="F112" s="144" t="str">
        <f t="shared" si="3"/>
        <v/>
      </c>
      <c r="H112" s="1102"/>
      <c r="I112" s="1102"/>
      <c r="J112" s="1102"/>
      <c r="K112" s="1102"/>
      <c r="L112" s="1102"/>
    </row>
    <row r="113" spans="2:22">
      <c r="B113" s="84"/>
      <c r="C113" s="511"/>
      <c r="D113" s="512"/>
      <c r="E113" s="513"/>
      <c r="F113" s="144" t="str">
        <f t="shared" si="3"/>
        <v/>
      </c>
      <c r="H113" s="1102"/>
      <c r="I113" s="1102"/>
      <c r="J113" s="1102"/>
      <c r="K113" s="1102"/>
      <c r="L113" s="1102"/>
    </row>
    <row r="114" spans="2:22">
      <c r="B114" s="84"/>
      <c r="C114" s="511"/>
      <c r="D114" s="512"/>
      <c r="E114" s="513"/>
      <c r="F114" s="144" t="str">
        <f t="shared" si="3"/>
        <v/>
      </c>
      <c r="H114" s="1102"/>
      <c r="I114" s="1102"/>
      <c r="J114" s="1102"/>
      <c r="K114" s="1102"/>
      <c r="L114" s="1102"/>
    </row>
    <row r="115" spans="2:22" ht="13.5" thickBot="1">
      <c r="B115" s="85"/>
      <c r="C115" s="514"/>
      <c r="D115" s="515"/>
      <c r="E115" s="516"/>
      <c r="F115" s="145" t="str">
        <f t="shared" si="3"/>
        <v/>
      </c>
      <c r="H115" s="1102"/>
      <c r="I115" s="1102"/>
      <c r="J115" s="1102"/>
      <c r="K115" s="1102"/>
      <c r="L115" s="1102"/>
    </row>
    <row r="116" spans="2:22" ht="13.5" thickBot="1">
      <c r="B116" s="140" t="s">
        <v>78</v>
      </c>
      <c r="C116" s="141"/>
      <c r="D116" s="141"/>
      <c r="E116" s="142"/>
      <c r="F116" s="889" t="e" cm="1">
        <f t="array" ref="F116">+_xlfn.IFS(C102=$O$6,_xlfn.XLOOKUP(C103,Contra_clima_exterior,$O$20:$V$20),C102=$W$6,_xlfn.XLOOKUP(C103,Contra_espacios_no_acondicionados_y_terreno,$W$20:$AC$20))</f>
        <v>#N/A</v>
      </c>
      <c r="H116" s="1102"/>
      <c r="I116" s="1102"/>
      <c r="J116" s="1102"/>
      <c r="K116" s="1102"/>
      <c r="L116" s="1102"/>
    </row>
    <row r="117" spans="2:22">
      <c r="B117" s="1554" t="s">
        <v>79</v>
      </c>
      <c r="C117" s="1555"/>
      <c r="D117" s="1555"/>
      <c r="E117" s="1556"/>
      <c r="F117" s="146" t="e">
        <f>SUM(F107:F116)</f>
        <v>#N/A</v>
      </c>
      <c r="H117" s="1102"/>
      <c r="I117" s="1102"/>
      <c r="J117" s="1102"/>
      <c r="K117" s="1102"/>
      <c r="L117" s="1102"/>
    </row>
    <row r="118" spans="2:22" ht="13.5" thickBot="1">
      <c r="B118" s="1557" t="s">
        <v>80</v>
      </c>
      <c r="C118" s="1558"/>
      <c r="D118" s="1558"/>
      <c r="E118" s="1559"/>
      <c r="F118" s="147" t="e">
        <f>1/F117</f>
        <v>#N/A</v>
      </c>
      <c r="H118" s="1102"/>
      <c r="I118" s="1102"/>
      <c r="J118" s="1102"/>
      <c r="K118" s="1102"/>
      <c r="L118" s="1102"/>
    </row>
    <row r="120" spans="2:22" s="897" customFormat="1" ht="4.1500000000000004" customHeight="1">
      <c r="P120" s="898"/>
      <c r="Q120" s="898"/>
      <c r="R120" s="898"/>
      <c r="S120" s="898"/>
      <c r="T120" s="898"/>
      <c r="U120" s="898"/>
      <c r="V120" s="898"/>
    </row>
    <row r="121" spans="2:22" ht="13.5" thickBot="1"/>
    <row r="122" spans="2:22" ht="13.5" thickBot="1">
      <c r="B122" s="82" t="s">
        <v>64</v>
      </c>
      <c r="C122" s="962"/>
      <c r="H122" s="1100" t="s">
        <v>124</v>
      </c>
      <c r="I122" s="1101"/>
    </row>
    <row r="123" spans="2:22" ht="13.5" thickBot="1">
      <c r="B123" s="82" t="s">
        <v>66</v>
      </c>
      <c r="C123" s="963"/>
      <c r="H123" s="896" t="s">
        <v>125</v>
      </c>
      <c r="I123" s="885" t="e" cm="1">
        <f t="array" aca="1" ref="I123" ca="1">+_xlfn.XLOOKUP($C$3,$N$8:$N$16,INDIRECT(_xlfn.CONCAT(SUBSTITUTE(C123," ","_"),_xlfn.SWITCH(C122,"Contra espacios no acondicionados y terreno","_int","Contra clima exterior","_ext"))))</f>
        <v>#N/A</v>
      </c>
    </row>
    <row r="124" spans="2:22" ht="13.5" thickBot="1">
      <c r="H124" s="94" t="s">
        <v>126</v>
      </c>
      <c r="I124" s="150" t="e" cm="1">
        <f t="array" aca="1" ref="I124" ca="1">_xlfn.IFS(F138&lt;=I123,"Cumple",F138&gt;I123,"No cumple")</f>
        <v>#N/A</v>
      </c>
    </row>
    <row r="125" spans="2:22" ht="13.5" thickBot="1"/>
    <row r="126" spans="2:22" ht="26.25" thickBot="1">
      <c r="B126" s="94" t="s">
        <v>69</v>
      </c>
      <c r="C126" s="151" t="s">
        <v>70</v>
      </c>
      <c r="D126" s="58" t="s">
        <v>71</v>
      </c>
      <c r="E126" s="59" t="s">
        <v>72</v>
      </c>
      <c r="F126" s="57" t="s">
        <v>73</v>
      </c>
      <c r="G126" s="139"/>
      <c r="H126" s="1102"/>
      <c r="I126" s="1102"/>
      <c r="J126" s="1102"/>
      <c r="K126" s="1102"/>
      <c r="L126" s="1102"/>
    </row>
    <row r="127" spans="2:22" ht="13.5" thickBot="1">
      <c r="B127" s="140" t="s">
        <v>75</v>
      </c>
      <c r="C127" s="141"/>
      <c r="D127" s="141"/>
      <c r="E127" s="142"/>
      <c r="F127" s="889" t="e" cm="1">
        <f t="array" ref="F127">+_xlfn.IFS(C122=$O$6,_xlfn.XLOOKUP(C123,Contra_clima_exterior,$O$19:$V$19),C122=$W$6,_xlfn.XLOOKUP(C123,Contra_espacios_no_acondicionados_y_terreno,$W$19:$AC$19))</f>
        <v>#N/A</v>
      </c>
      <c r="H127" s="1102"/>
      <c r="I127" s="1102"/>
      <c r="J127" s="1102"/>
      <c r="K127" s="1102"/>
      <c r="L127" s="1102"/>
    </row>
    <row r="128" spans="2:22">
      <c r="B128" s="86"/>
      <c r="C128" s="508"/>
      <c r="D128" s="509"/>
      <c r="E128" s="510"/>
      <c r="F128" s="143" t="str">
        <f t="shared" ref="F128:F135" si="4">IFERROR(C128/E128,"")</f>
        <v/>
      </c>
      <c r="H128" s="1102"/>
      <c r="I128" s="1102"/>
      <c r="J128" s="1102"/>
      <c r="K128" s="1102"/>
      <c r="L128" s="1102"/>
    </row>
    <row r="129" spans="2:22">
      <c r="B129" s="84"/>
      <c r="C129" s="511"/>
      <c r="D129" s="512"/>
      <c r="E129" s="513"/>
      <c r="F129" s="144" t="str">
        <f t="shared" si="4"/>
        <v/>
      </c>
      <c r="H129" s="1102"/>
      <c r="I129" s="1102"/>
      <c r="J129" s="1102"/>
      <c r="K129" s="1102"/>
      <c r="L129" s="1102"/>
    </row>
    <row r="130" spans="2:22">
      <c r="B130" s="84"/>
      <c r="C130" s="511"/>
      <c r="D130" s="512"/>
      <c r="E130" s="513"/>
      <c r="F130" s="144" t="str">
        <f t="shared" si="4"/>
        <v/>
      </c>
      <c r="H130" s="1102"/>
      <c r="I130" s="1102"/>
      <c r="J130" s="1102"/>
      <c r="K130" s="1102"/>
      <c r="L130" s="1102"/>
    </row>
    <row r="131" spans="2:22">
      <c r="B131" s="84"/>
      <c r="C131" s="511"/>
      <c r="D131" s="512"/>
      <c r="E131" s="513"/>
      <c r="F131" s="144" t="str">
        <f t="shared" si="4"/>
        <v/>
      </c>
      <c r="H131" s="1102"/>
      <c r="I131" s="1102"/>
      <c r="J131" s="1102"/>
      <c r="K131" s="1102"/>
      <c r="L131" s="1102"/>
    </row>
    <row r="132" spans="2:22">
      <c r="B132" s="84"/>
      <c r="C132" s="511"/>
      <c r="D132" s="512"/>
      <c r="E132" s="513"/>
      <c r="F132" s="144" t="str">
        <f t="shared" si="4"/>
        <v/>
      </c>
      <c r="H132" s="1102"/>
      <c r="I132" s="1102"/>
      <c r="J132" s="1102"/>
      <c r="K132" s="1102"/>
      <c r="L132" s="1102"/>
    </row>
    <row r="133" spans="2:22">
      <c r="B133" s="84"/>
      <c r="C133" s="511"/>
      <c r="D133" s="512"/>
      <c r="E133" s="513"/>
      <c r="F133" s="144" t="str">
        <f t="shared" si="4"/>
        <v/>
      </c>
      <c r="H133" s="1102"/>
      <c r="I133" s="1102"/>
      <c r="J133" s="1102"/>
      <c r="K133" s="1102"/>
      <c r="L133" s="1102"/>
    </row>
    <row r="134" spans="2:22">
      <c r="B134" s="84"/>
      <c r="C134" s="511"/>
      <c r="D134" s="512"/>
      <c r="E134" s="513"/>
      <c r="F134" s="144" t="str">
        <f t="shared" si="4"/>
        <v/>
      </c>
      <c r="H134" s="1102"/>
      <c r="I134" s="1102"/>
      <c r="J134" s="1102"/>
      <c r="K134" s="1102"/>
      <c r="L134" s="1102"/>
    </row>
    <row r="135" spans="2:22" ht="13.5" thickBot="1">
      <c r="B135" s="85"/>
      <c r="C135" s="514"/>
      <c r="D135" s="515"/>
      <c r="E135" s="516"/>
      <c r="F135" s="145" t="str">
        <f t="shared" si="4"/>
        <v/>
      </c>
      <c r="H135" s="1102"/>
      <c r="I135" s="1102"/>
      <c r="J135" s="1102"/>
      <c r="K135" s="1102"/>
      <c r="L135" s="1102"/>
    </row>
    <row r="136" spans="2:22" ht="13.5" thickBot="1">
      <c r="B136" s="140" t="s">
        <v>78</v>
      </c>
      <c r="C136" s="141"/>
      <c r="D136" s="141"/>
      <c r="E136" s="142"/>
      <c r="F136" s="889" t="e" cm="1">
        <f t="array" ref="F136">+_xlfn.IFS(C122=$O$6,_xlfn.XLOOKUP(C123,Contra_clima_exterior,$O$20:$V$20),C122=$W$6,_xlfn.XLOOKUP(C123,Contra_espacios_no_acondicionados_y_terreno,$W$20:$AC$20))</f>
        <v>#N/A</v>
      </c>
      <c r="H136" s="1102"/>
      <c r="I136" s="1102"/>
      <c r="J136" s="1102"/>
      <c r="K136" s="1102"/>
      <c r="L136" s="1102"/>
    </row>
    <row r="137" spans="2:22">
      <c r="B137" s="1554" t="s">
        <v>79</v>
      </c>
      <c r="C137" s="1555"/>
      <c r="D137" s="1555"/>
      <c r="E137" s="1556"/>
      <c r="F137" s="146" t="e">
        <f>SUM(F127:F136)</f>
        <v>#N/A</v>
      </c>
      <c r="H137" s="1102"/>
      <c r="I137" s="1102"/>
      <c r="J137" s="1102"/>
      <c r="K137" s="1102"/>
      <c r="L137" s="1102"/>
    </row>
    <row r="138" spans="2:22" ht="13.5" thickBot="1">
      <c r="B138" s="1557" t="s">
        <v>80</v>
      </c>
      <c r="C138" s="1558"/>
      <c r="D138" s="1558"/>
      <c r="E138" s="1559"/>
      <c r="F138" s="147" t="e">
        <f>1/F137</f>
        <v>#N/A</v>
      </c>
      <c r="H138" s="1102"/>
      <c r="I138" s="1102"/>
      <c r="J138" s="1102"/>
      <c r="K138" s="1102"/>
      <c r="L138" s="1102"/>
    </row>
    <row r="140" spans="2:22" s="897" customFormat="1" ht="4.1500000000000004" customHeight="1">
      <c r="P140" s="898"/>
      <c r="Q140" s="898"/>
      <c r="R140" s="898"/>
      <c r="S140" s="898"/>
      <c r="T140" s="898"/>
      <c r="U140" s="898"/>
      <c r="V140" s="898"/>
    </row>
    <row r="141" spans="2:22" ht="13.5" thickBot="1"/>
    <row r="142" spans="2:22" ht="13.5" thickBot="1">
      <c r="B142" s="82" t="s">
        <v>64</v>
      </c>
      <c r="C142" s="962"/>
      <c r="H142" s="1100" t="s">
        <v>124</v>
      </c>
      <c r="I142" s="1101"/>
    </row>
    <row r="143" spans="2:22" ht="13.5" thickBot="1">
      <c r="B143" s="82" t="s">
        <v>66</v>
      </c>
      <c r="C143" s="963"/>
      <c r="H143" s="896" t="s">
        <v>65</v>
      </c>
      <c r="I143" s="884" t="e" cm="1">
        <f t="array" aca="1" ref="I143" ca="1">+_xlfn.XLOOKUP($C$3,$N$8:$N$16,INDIRECT(_xlfn.CONCAT(SUBSTITUTE(C143," ","_"),_xlfn.SWITCH(C142,"Contra espacios no acondicionados y terreno","_int","Contra clima exterior","_ext"))))</f>
        <v>#N/A</v>
      </c>
    </row>
    <row r="144" spans="2:22" ht="13.5" thickBot="1">
      <c r="H144" s="94" t="s">
        <v>67</v>
      </c>
      <c r="I144" s="895" t="str" cm="1">
        <f t="array" aca="1" ref="I144" ca="1">IFERROR(_xlfn.IFS(E180&lt;=I143,"Cumple",E180&gt;I143,"No cumple"),"Completar cálculo")</f>
        <v>Completar cálculo</v>
      </c>
    </row>
    <row r="145" spans="2:6" ht="13.5" thickBot="1"/>
    <row r="146" spans="2:6" ht="13.5" thickBot="1">
      <c r="B146" s="1068" t="s">
        <v>86</v>
      </c>
      <c r="C146" s="1069"/>
      <c r="D146" s="1069"/>
      <c r="E146" s="1069"/>
      <c r="F146" s="1070"/>
    </row>
    <row r="147" spans="2:6" ht="26.25" thickBot="1">
      <c r="B147" s="94" t="s">
        <v>69</v>
      </c>
      <c r="C147" s="151" t="s">
        <v>70</v>
      </c>
      <c r="D147" s="58" t="s">
        <v>71</v>
      </c>
      <c r="E147" s="59" t="s">
        <v>72</v>
      </c>
      <c r="F147" s="57" t="s">
        <v>73</v>
      </c>
    </row>
    <row r="148" spans="2:6" ht="13.5" thickBot="1">
      <c r="B148" s="140" t="s">
        <v>75</v>
      </c>
      <c r="C148" s="141"/>
      <c r="D148" s="141"/>
      <c r="E148" s="142"/>
      <c r="F148" s="889" t="e" cm="1">
        <f t="array" ref="F148">+_xlfn.IFS(C142=$O$6,_xlfn.XLOOKUP(C143,Contra_clima_exterior,$O$19:$V$19),C142=$W$6,_xlfn.XLOOKUP(C143,Contra_espacios_no_acondicionados_y_terreno,$W$19:$AC$19))</f>
        <v>#N/A</v>
      </c>
    </row>
    <row r="149" spans="2:6">
      <c r="B149" s="86"/>
      <c r="C149" s="508"/>
      <c r="D149" s="509"/>
      <c r="E149" s="510"/>
      <c r="F149" s="144" t="str">
        <f t="shared" ref="F149:F156" si="5">IFERROR(C149/E149,"")</f>
        <v/>
      </c>
    </row>
    <row r="150" spans="2:6">
      <c r="B150" s="84"/>
      <c r="C150" s="511"/>
      <c r="D150" s="512"/>
      <c r="E150" s="513"/>
      <c r="F150" s="144" t="str">
        <f t="shared" si="5"/>
        <v/>
      </c>
    </row>
    <row r="151" spans="2:6">
      <c r="B151" s="84"/>
      <c r="C151" s="511"/>
      <c r="D151" s="512"/>
      <c r="E151" s="513"/>
      <c r="F151" s="144" t="str">
        <f t="shared" si="5"/>
        <v/>
      </c>
    </row>
    <row r="152" spans="2:6">
      <c r="B152" s="84"/>
      <c r="C152" s="511"/>
      <c r="D152" s="512"/>
      <c r="E152" s="513"/>
      <c r="F152" s="144" t="str">
        <f t="shared" si="5"/>
        <v/>
      </c>
    </row>
    <row r="153" spans="2:6">
      <c r="B153" s="84"/>
      <c r="C153" s="511"/>
      <c r="D153" s="512"/>
      <c r="E153" s="513"/>
      <c r="F153" s="144" t="str">
        <f t="shared" si="5"/>
        <v/>
      </c>
    </row>
    <row r="154" spans="2:6">
      <c r="B154" s="84"/>
      <c r="C154" s="511"/>
      <c r="D154" s="512"/>
      <c r="E154" s="513"/>
      <c r="F154" s="144" t="str">
        <f t="shared" si="5"/>
        <v/>
      </c>
    </row>
    <row r="155" spans="2:6">
      <c r="B155" s="84"/>
      <c r="C155" s="511"/>
      <c r="D155" s="512"/>
      <c r="E155" s="513"/>
      <c r="F155" s="144" t="str">
        <f t="shared" si="5"/>
        <v/>
      </c>
    </row>
    <row r="156" spans="2:6" ht="13.5" thickBot="1">
      <c r="B156" s="85"/>
      <c r="C156" s="514"/>
      <c r="D156" s="515"/>
      <c r="E156" s="516"/>
      <c r="F156" s="145" t="str">
        <f t="shared" si="5"/>
        <v/>
      </c>
    </row>
    <row r="157" spans="2:6" ht="13.5" thickBot="1">
      <c r="B157" s="140" t="s">
        <v>78</v>
      </c>
      <c r="C157" s="141"/>
      <c r="D157" s="141"/>
      <c r="E157" s="142"/>
      <c r="F157" s="889" t="e" cm="1">
        <f t="array" ref="F157">+_xlfn.IFS(C142=$O$6,_xlfn.XLOOKUP(C143,Contra_clima_exterior,$O$20:$V$20),C142=$W$6,_xlfn.XLOOKUP(C143,Contra_espacios_no_acondicionados_y_terreno,$W$20:$AC$20))</f>
        <v>#N/A</v>
      </c>
    </row>
    <row r="158" spans="2:6">
      <c r="B158" s="1554" t="s">
        <v>79</v>
      </c>
      <c r="C158" s="1555"/>
      <c r="D158" s="1555"/>
      <c r="E158" s="1556"/>
      <c r="F158" s="146" t="e">
        <f>SUM(F148:F157)</f>
        <v>#N/A</v>
      </c>
    </row>
    <row r="159" spans="2:6" ht="13.5" thickBot="1">
      <c r="B159" s="1560" t="s">
        <v>87</v>
      </c>
      <c r="C159" s="1561"/>
      <c r="D159" s="1561"/>
      <c r="E159" s="1562"/>
      <c r="F159" s="150" t="e">
        <f>1/F158</f>
        <v>#N/A</v>
      </c>
    </row>
    <row r="160" spans="2:6" ht="13.5" thickBot="1"/>
    <row r="161" spans="2:6" ht="13.5" thickBot="1">
      <c r="B161" s="1068" t="s">
        <v>88</v>
      </c>
      <c r="C161" s="1069"/>
      <c r="D161" s="1069"/>
      <c r="E161" s="1069"/>
      <c r="F161" s="1070"/>
    </row>
    <row r="162" spans="2:6" ht="26.25" thickBot="1">
      <c r="B162" s="94" t="s">
        <v>69</v>
      </c>
      <c r="C162" s="151" t="s">
        <v>70</v>
      </c>
      <c r="D162" s="58" t="s">
        <v>71</v>
      </c>
      <c r="E162" s="59" t="s">
        <v>72</v>
      </c>
      <c r="F162" s="57" t="s">
        <v>73</v>
      </c>
    </row>
    <row r="163" spans="2:6" ht="13.5" thickBot="1">
      <c r="B163" s="140" t="s">
        <v>75</v>
      </c>
      <c r="C163" s="141"/>
      <c r="D163" s="141"/>
      <c r="E163" s="142"/>
      <c r="F163" s="889" t="e" cm="1">
        <f t="array" ref="F163">+_xlfn.IFS(C142=$O$6,_xlfn.XLOOKUP(C143,Contra_clima_exterior,$O$19:$V$19),C142=$W$6,_xlfn.XLOOKUP(C143,Contra_espacios_no_acondicionados_y_terreno,$W$19:$AC$19))</f>
        <v>#N/A</v>
      </c>
    </row>
    <row r="164" spans="2:6">
      <c r="B164" s="86"/>
      <c r="C164" s="508"/>
      <c r="D164" s="509"/>
      <c r="E164" s="510"/>
      <c r="F164" s="144" t="str">
        <f t="shared" ref="F164:F171" si="6">IFERROR(C164/E164,"")</f>
        <v/>
      </c>
    </row>
    <row r="165" spans="2:6">
      <c r="B165" s="84"/>
      <c r="C165" s="511"/>
      <c r="D165" s="512"/>
      <c r="E165" s="513"/>
      <c r="F165" s="144" t="str">
        <f t="shared" si="6"/>
        <v/>
      </c>
    </row>
    <row r="166" spans="2:6">
      <c r="B166" s="84"/>
      <c r="C166" s="511"/>
      <c r="D166" s="512"/>
      <c r="E166" s="513"/>
      <c r="F166" s="144" t="str">
        <f t="shared" si="6"/>
        <v/>
      </c>
    </row>
    <row r="167" spans="2:6">
      <c r="B167" s="84"/>
      <c r="C167" s="511"/>
      <c r="D167" s="512"/>
      <c r="E167" s="513"/>
      <c r="F167" s="144" t="str">
        <f t="shared" si="6"/>
        <v/>
      </c>
    </row>
    <row r="168" spans="2:6">
      <c r="B168" s="84"/>
      <c r="C168" s="511"/>
      <c r="D168" s="512"/>
      <c r="E168" s="513"/>
      <c r="F168" s="144" t="str">
        <f t="shared" si="6"/>
        <v/>
      </c>
    </row>
    <row r="169" spans="2:6">
      <c r="B169" s="84"/>
      <c r="C169" s="511"/>
      <c r="D169" s="512"/>
      <c r="E169" s="513"/>
      <c r="F169" s="144" t="str">
        <f t="shared" si="6"/>
        <v/>
      </c>
    </row>
    <row r="170" spans="2:6">
      <c r="B170" s="84"/>
      <c r="C170" s="511"/>
      <c r="D170" s="512"/>
      <c r="E170" s="513"/>
      <c r="F170" s="144" t="str">
        <f t="shared" si="6"/>
        <v/>
      </c>
    </row>
    <row r="171" spans="2:6" ht="13.5" thickBot="1">
      <c r="B171" s="85"/>
      <c r="C171" s="514"/>
      <c r="D171" s="515"/>
      <c r="E171" s="516"/>
      <c r="F171" s="144" t="str">
        <f t="shared" si="6"/>
        <v/>
      </c>
    </row>
    <row r="172" spans="2:6" ht="13.5" thickBot="1">
      <c r="B172" s="140" t="s">
        <v>78</v>
      </c>
      <c r="C172" s="141"/>
      <c r="D172" s="141"/>
      <c r="E172" s="142"/>
      <c r="F172" s="889" t="e" cm="1">
        <f t="array" ref="F172">+_xlfn.IFS(C142=$O$6,_xlfn.XLOOKUP(C143,Contra_clima_exterior,$O$20:$V$20),C142=$W$6,_xlfn.XLOOKUP(C143,Contra_espacios_no_acondicionados_y_terreno,$W$20:$AC$20))</f>
        <v>#N/A</v>
      </c>
    </row>
    <row r="173" spans="2:6">
      <c r="B173" s="1554" t="s">
        <v>79</v>
      </c>
      <c r="C173" s="1555"/>
      <c r="D173" s="1555"/>
      <c r="E173" s="1556"/>
      <c r="F173" s="146" t="e">
        <f>SUM(F163:F172)</f>
        <v>#N/A</v>
      </c>
    </row>
    <row r="174" spans="2:6" ht="13.5" thickBot="1">
      <c r="B174" s="1560" t="s">
        <v>89</v>
      </c>
      <c r="C174" s="1561"/>
      <c r="D174" s="1561"/>
      <c r="E174" s="1562"/>
      <c r="F174" s="150" t="e">
        <f>1/F173</f>
        <v>#N/A</v>
      </c>
    </row>
    <row r="175" spans="2:6" ht="13.5" thickBot="1"/>
    <row r="176" spans="2:6" ht="13.5" thickBot="1">
      <c r="B176" s="1074" t="s">
        <v>90</v>
      </c>
      <c r="C176" s="1074"/>
      <c r="D176" s="1074"/>
      <c r="E176" s="1074"/>
      <c r="F176" s="1074"/>
    </row>
    <row r="177" spans="2:22" ht="13.5" thickBot="1">
      <c r="B177" s="94" t="s">
        <v>91</v>
      </c>
      <c r="C177" s="1075" t="s">
        <v>92</v>
      </c>
      <c r="D177" s="1075"/>
      <c r="E177" s="1075" t="s">
        <v>93</v>
      </c>
      <c r="F177" s="1075"/>
    </row>
    <row r="178" spans="2:22">
      <c r="B178" s="92" t="s">
        <v>94</v>
      </c>
      <c r="C178" s="1066"/>
      <c r="D178" s="1066"/>
      <c r="E178" s="1067" t="e">
        <f>F159*C178</f>
        <v>#N/A</v>
      </c>
      <c r="F178" s="1067"/>
    </row>
    <row r="179" spans="2:22" ht="13.5" thickBot="1">
      <c r="B179" s="91" t="s">
        <v>95</v>
      </c>
      <c r="C179" s="1060">
        <f>1-C178</f>
        <v>1</v>
      </c>
      <c r="D179" s="1060"/>
      <c r="E179" s="1061" t="e">
        <f>F174*C179</f>
        <v>#N/A</v>
      </c>
      <c r="F179" s="1061"/>
    </row>
    <row r="180" spans="2:22" ht="13.5" thickBot="1">
      <c r="B180" s="1062" t="s">
        <v>96</v>
      </c>
      <c r="C180" s="1062"/>
      <c r="D180" s="1062"/>
      <c r="E180" s="1063" t="e">
        <f>SUM(E178:F179)</f>
        <v>#N/A</v>
      </c>
      <c r="F180" s="1064"/>
    </row>
    <row r="182" spans="2:22" s="897" customFormat="1" ht="4.1500000000000004" customHeight="1">
      <c r="P182" s="898"/>
      <c r="Q182" s="898"/>
      <c r="R182" s="898"/>
      <c r="S182" s="898"/>
      <c r="T182" s="898"/>
      <c r="U182" s="898"/>
      <c r="V182" s="898"/>
    </row>
    <row r="183" spans="2:22" ht="14.65" customHeight="1" thickBot="1"/>
    <row r="184" spans="2:22" ht="14.65" customHeight="1" thickBot="1">
      <c r="B184" s="82" t="s">
        <v>64</v>
      </c>
      <c r="C184" s="962"/>
      <c r="H184" s="1100" t="s">
        <v>124</v>
      </c>
      <c r="I184" s="1101"/>
    </row>
    <row r="185" spans="2:22" ht="14.65" customHeight="1" thickBot="1">
      <c r="B185" s="82" t="s">
        <v>66</v>
      </c>
      <c r="C185" s="963"/>
      <c r="H185" s="896" t="s">
        <v>65</v>
      </c>
      <c r="I185" s="884" t="e" cm="1">
        <f t="array" aca="1" ref="I185" ca="1">+_xlfn.XLOOKUP($C$3,$N$8:$N$16,INDIRECT(_xlfn.CONCAT(SUBSTITUTE(C185," ","_"),_xlfn.SWITCH(C184,"Contra espacios no acondicionados y terreno","_int","Contra clima exterior","_ext"))))</f>
        <v>#N/A</v>
      </c>
    </row>
    <row r="186" spans="2:22" ht="14.65" customHeight="1" thickBot="1">
      <c r="H186" s="94" t="s">
        <v>67</v>
      </c>
      <c r="I186" s="895" t="str" cm="1">
        <f t="array" aca="1" ref="I186" ca="1">IFERROR(_xlfn.IFS(E222&lt;=I185,"Cumple",E222&gt;I185,"No cumple"),"Completar cálculo")</f>
        <v>Completar cálculo</v>
      </c>
    </row>
    <row r="187" spans="2:22" ht="14.65" customHeight="1" thickBot="1"/>
    <row r="188" spans="2:22" ht="13.5" thickBot="1">
      <c r="B188" s="1068" t="s">
        <v>86</v>
      </c>
      <c r="C188" s="1069"/>
      <c r="D188" s="1069"/>
      <c r="E188" s="1069"/>
      <c r="F188" s="1070"/>
    </row>
    <row r="189" spans="2:22" ht="26.25" thickBot="1">
      <c r="B189" s="94" t="s">
        <v>69</v>
      </c>
      <c r="C189" s="151" t="s">
        <v>70</v>
      </c>
      <c r="D189" s="58" t="s">
        <v>71</v>
      </c>
      <c r="E189" s="59" t="s">
        <v>72</v>
      </c>
      <c r="F189" s="57" t="s">
        <v>73</v>
      </c>
    </row>
    <row r="190" spans="2:22" ht="13.5" thickBot="1">
      <c r="B190" s="140" t="s">
        <v>75</v>
      </c>
      <c r="C190" s="141"/>
      <c r="D190" s="141"/>
      <c r="E190" s="142"/>
      <c r="F190" s="889" t="e" cm="1">
        <f t="array" ref="F190">+_xlfn.IFS(C184=$O$6,_xlfn.XLOOKUP(C185,Contra_clima_exterior,$O$19:$V$19),C184=$W$6,_xlfn.XLOOKUP(C185,Contra_espacios_no_acondicionados_y_terreno,$W$19:$AC$19))</f>
        <v>#N/A</v>
      </c>
    </row>
    <row r="191" spans="2:22">
      <c r="B191" s="86"/>
      <c r="C191" s="508"/>
      <c r="D191" s="509"/>
      <c r="E191" s="510"/>
      <c r="F191" s="144" t="str">
        <f t="shared" ref="F191:F198" si="7">IFERROR(C191/E191,"")</f>
        <v/>
      </c>
    </row>
    <row r="192" spans="2:22">
      <c r="B192" s="84"/>
      <c r="C192" s="511"/>
      <c r="D192" s="512"/>
      <c r="E192" s="513"/>
      <c r="F192" s="144" t="str">
        <f t="shared" si="7"/>
        <v/>
      </c>
    </row>
    <row r="193" spans="2:6">
      <c r="B193" s="84"/>
      <c r="C193" s="511"/>
      <c r="D193" s="512"/>
      <c r="E193" s="513"/>
      <c r="F193" s="144" t="str">
        <f t="shared" si="7"/>
        <v/>
      </c>
    </row>
    <row r="194" spans="2:6">
      <c r="B194" s="84"/>
      <c r="C194" s="511"/>
      <c r="D194" s="512"/>
      <c r="E194" s="513"/>
      <c r="F194" s="144" t="str">
        <f t="shared" si="7"/>
        <v/>
      </c>
    </row>
    <row r="195" spans="2:6">
      <c r="B195" s="84"/>
      <c r="C195" s="511"/>
      <c r="D195" s="512"/>
      <c r="E195" s="513"/>
      <c r="F195" s="144" t="str">
        <f t="shared" si="7"/>
        <v/>
      </c>
    </row>
    <row r="196" spans="2:6">
      <c r="B196" s="84"/>
      <c r="C196" s="511"/>
      <c r="D196" s="512"/>
      <c r="E196" s="513"/>
      <c r="F196" s="144" t="str">
        <f t="shared" si="7"/>
        <v/>
      </c>
    </row>
    <row r="197" spans="2:6">
      <c r="B197" s="84"/>
      <c r="C197" s="511"/>
      <c r="D197" s="512"/>
      <c r="E197" s="513"/>
      <c r="F197" s="144" t="str">
        <f t="shared" si="7"/>
        <v/>
      </c>
    </row>
    <row r="198" spans="2:6" ht="13.5" thickBot="1">
      <c r="B198" s="85"/>
      <c r="C198" s="514"/>
      <c r="D198" s="515"/>
      <c r="E198" s="516"/>
      <c r="F198" s="144" t="str">
        <f t="shared" si="7"/>
        <v/>
      </c>
    </row>
    <row r="199" spans="2:6" ht="13.5" thickBot="1">
      <c r="B199" s="140" t="s">
        <v>78</v>
      </c>
      <c r="C199" s="141"/>
      <c r="D199" s="141"/>
      <c r="E199" s="142"/>
      <c r="F199" s="889" t="e" cm="1">
        <f t="array" ref="F199">+_xlfn.IFS(C184=$O$6,_xlfn.XLOOKUP(C185,Contra_clima_exterior,$O$20:$V$20),C184=$W$6,_xlfn.XLOOKUP(C185,Contra_espacios_no_acondicionados_y_terreno,$W$20:$AC$20))</f>
        <v>#N/A</v>
      </c>
    </row>
    <row r="200" spans="2:6">
      <c r="B200" s="1554" t="s">
        <v>79</v>
      </c>
      <c r="C200" s="1555"/>
      <c r="D200" s="1555"/>
      <c r="E200" s="1556"/>
      <c r="F200" s="146" t="e">
        <f>SUM(F190:F199)</f>
        <v>#N/A</v>
      </c>
    </row>
    <row r="201" spans="2:6" ht="13.5" thickBot="1">
      <c r="B201" s="1560" t="s">
        <v>87</v>
      </c>
      <c r="C201" s="1561"/>
      <c r="D201" s="1561"/>
      <c r="E201" s="1562"/>
      <c r="F201" s="150" t="e">
        <f>1/F200</f>
        <v>#N/A</v>
      </c>
    </row>
    <row r="202" spans="2:6" ht="13.5" thickBot="1"/>
    <row r="203" spans="2:6" ht="13.5" thickBot="1">
      <c r="B203" s="1068" t="s">
        <v>88</v>
      </c>
      <c r="C203" s="1069"/>
      <c r="D203" s="1069"/>
      <c r="E203" s="1069"/>
      <c r="F203" s="1070"/>
    </row>
    <row r="204" spans="2:6" ht="26.25" thickBot="1">
      <c r="B204" s="94" t="s">
        <v>69</v>
      </c>
      <c r="C204" s="151" t="s">
        <v>70</v>
      </c>
      <c r="D204" s="58" t="s">
        <v>71</v>
      </c>
      <c r="E204" s="59" t="s">
        <v>72</v>
      </c>
      <c r="F204" s="57" t="s">
        <v>73</v>
      </c>
    </row>
    <row r="205" spans="2:6" ht="13.5" thickBot="1">
      <c r="B205" s="140" t="s">
        <v>75</v>
      </c>
      <c r="C205" s="141"/>
      <c r="D205" s="141"/>
      <c r="E205" s="142"/>
      <c r="F205" s="889" t="e" cm="1">
        <f t="array" ref="F205">+_xlfn.IFS(C184=$O$6,_xlfn.XLOOKUP(C185,Contra_clima_exterior,$O$19:$V$19),C184=$W$6,_xlfn.XLOOKUP(C185,Contra_espacios_no_acondicionados_y_terreno,$W$19:$AC$19))</f>
        <v>#N/A</v>
      </c>
    </row>
    <row r="206" spans="2:6">
      <c r="B206" s="86"/>
      <c r="C206" s="508"/>
      <c r="D206" s="509"/>
      <c r="E206" s="510"/>
      <c r="F206" s="144" t="str">
        <f t="shared" ref="F206:F213" si="8">IFERROR(C206/E206,"")</f>
        <v/>
      </c>
    </row>
    <row r="207" spans="2:6">
      <c r="B207" s="84"/>
      <c r="C207" s="511"/>
      <c r="D207" s="512"/>
      <c r="E207" s="513"/>
      <c r="F207" s="144" t="str">
        <f t="shared" si="8"/>
        <v/>
      </c>
    </row>
    <row r="208" spans="2:6">
      <c r="B208" s="84"/>
      <c r="C208" s="511"/>
      <c r="D208" s="512"/>
      <c r="E208" s="513"/>
      <c r="F208" s="144" t="str">
        <f t="shared" si="8"/>
        <v/>
      </c>
    </row>
    <row r="209" spans="2:22">
      <c r="B209" s="84"/>
      <c r="C209" s="511"/>
      <c r="D209" s="512"/>
      <c r="E209" s="513"/>
      <c r="F209" s="144" t="str">
        <f t="shared" si="8"/>
        <v/>
      </c>
    </row>
    <row r="210" spans="2:22">
      <c r="B210" s="84"/>
      <c r="C210" s="511"/>
      <c r="D210" s="512"/>
      <c r="E210" s="513"/>
      <c r="F210" s="144" t="str">
        <f t="shared" si="8"/>
        <v/>
      </c>
    </row>
    <row r="211" spans="2:22">
      <c r="B211" s="84"/>
      <c r="C211" s="511"/>
      <c r="D211" s="512"/>
      <c r="E211" s="513"/>
      <c r="F211" s="144" t="str">
        <f t="shared" si="8"/>
        <v/>
      </c>
    </row>
    <row r="212" spans="2:22">
      <c r="B212" s="84"/>
      <c r="C212" s="511"/>
      <c r="D212" s="512"/>
      <c r="E212" s="513"/>
      <c r="F212" s="144" t="str">
        <f t="shared" si="8"/>
        <v/>
      </c>
    </row>
    <row r="213" spans="2:22" ht="13.5" thickBot="1">
      <c r="B213" s="85"/>
      <c r="C213" s="514"/>
      <c r="D213" s="515"/>
      <c r="E213" s="516"/>
      <c r="F213" s="144" t="str">
        <f t="shared" si="8"/>
        <v/>
      </c>
    </row>
    <row r="214" spans="2:22" ht="13.5" thickBot="1">
      <c r="B214" s="140" t="s">
        <v>78</v>
      </c>
      <c r="C214" s="141"/>
      <c r="D214" s="141"/>
      <c r="E214" s="142"/>
      <c r="F214" s="889" t="e" cm="1">
        <f t="array" ref="F214">+_xlfn.IFS(C184=$O$6,_xlfn.XLOOKUP(C185,Contra_clima_exterior,$O$20:$V$20),C184=$W$6,_xlfn.XLOOKUP(C185,Contra_espacios_no_acondicionados_y_terreno,$W$20:$AC$20))</f>
        <v>#N/A</v>
      </c>
    </row>
    <row r="215" spans="2:22">
      <c r="B215" s="1554" t="s">
        <v>79</v>
      </c>
      <c r="C215" s="1555"/>
      <c r="D215" s="1555"/>
      <c r="E215" s="1556"/>
      <c r="F215" s="146" t="e">
        <f>SUM(F205:F214)</f>
        <v>#N/A</v>
      </c>
    </row>
    <row r="216" spans="2:22" ht="13.5" thickBot="1">
      <c r="B216" s="1560" t="s">
        <v>89</v>
      </c>
      <c r="C216" s="1561"/>
      <c r="D216" s="1561"/>
      <c r="E216" s="1562"/>
      <c r="F216" s="150" t="e">
        <f>1/F215</f>
        <v>#N/A</v>
      </c>
    </row>
    <row r="217" spans="2:22" ht="13.5" thickBot="1"/>
    <row r="218" spans="2:22" ht="13.5" thickBot="1">
      <c r="B218" s="1074" t="s">
        <v>90</v>
      </c>
      <c r="C218" s="1074"/>
      <c r="D218" s="1074"/>
      <c r="E218" s="1074"/>
      <c r="F218" s="1074"/>
    </row>
    <row r="219" spans="2:22" ht="13.5" thickBot="1">
      <c r="B219" s="94" t="s">
        <v>91</v>
      </c>
      <c r="C219" s="1075" t="s">
        <v>92</v>
      </c>
      <c r="D219" s="1075"/>
      <c r="E219" s="1075" t="s">
        <v>93</v>
      </c>
      <c r="F219" s="1075"/>
    </row>
    <row r="220" spans="2:22">
      <c r="B220" s="92" t="s">
        <v>94</v>
      </c>
      <c r="C220" s="1066"/>
      <c r="D220" s="1066"/>
      <c r="E220" s="1067" t="e">
        <f>F201*C220</f>
        <v>#N/A</v>
      </c>
      <c r="F220" s="1067"/>
    </row>
    <row r="221" spans="2:22" ht="13.5" thickBot="1">
      <c r="B221" s="91" t="s">
        <v>95</v>
      </c>
      <c r="C221" s="1060">
        <f>1-C220</f>
        <v>1</v>
      </c>
      <c r="D221" s="1060"/>
      <c r="E221" s="1061" t="e">
        <f>F216*C221</f>
        <v>#N/A</v>
      </c>
      <c r="F221" s="1061"/>
    </row>
    <row r="222" spans="2:22" ht="13.5" thickBot="1">
      <c r="B222" s="1062" t="s">
        <v>96</v>
      </c>
      <c r="C222" s="1062"/>
      <c r="D222" s="1062"/>
      <c r="E222" s="1063" t="e">
        <f>SUM(E220:F221)</f>
        <v>#N/A</v>
      </c>
      <c r="F222" s="1064"/>
    </row>
    <row r="224" spans="2:22" s="897" customFormat="1" ht="4.1500000000000004" customHeight="1">
      <c r="P224" s="898"/>
      <c r="Q224" s="898"/>
      <c r="R224" s="898"/>
      <c r="S224" s="898"/>
      <c r="T224" s="898"/>
      <c r="U224" s="898"/>
      <c r="V224" s="898"/>
    </row>
    <row r="225" spans="2:9" ht="13.5" thickBot="1"/>
    <row r="226" spans="2:9" ht="13.5" thickBot="1">
      <c r="B226" s="82" t="s">
        <v>64</v>
      </c>
      <c r="C226" s="962"/>
      <c r="H226" s="1100" t="s">
        <v>124</v>
      </c>
      <c r="I226" s="1101"/>
    </row>
    <row r="227" spans="2:9" ht="13.5" thickBot="1">
      <c r="B227" s="82" t="s">
        <v>66</v>
      </c>
      <c r="C227" s="963"/>
      <c r="H227" s="896" t="s">
        <v>65</v>
      </c>
      <c r="I227" s="884" t="e" cm="1">
        <f t="array" aca="1" ref="I227" ca="1">+_xlfn.XLOOKUP($C$3,$N$8:$N$16,INDIRECT(_xlfn.CONCAT(SUBSTITUTE(C227," ","_"),_xlfn.SWITCH(C226,"Contra espacios no acondicionados y terreno","_int","Contra clima exterior","_ext"))))</f>
        <v>#N/A</v>
      </c>
    </row>
    <row r="228" spans="2:9" ht="13.5" thickBot="1">
      <c r="H228" s="94" t="s">
        <v>67</v>
      </c>
      <c r="I228" s="895" t="str" cm="1">
        <f t="array" aca="1" ref="I228" ca="1">IFERROR(_xlfn.IFS(E264&lt;=I227,"Cumple",E264&gt;I227,"No cumple"),"Completar cálculo")</f>
        <v>Completar cálculo</v>
      </c>
    </row>
    <row r="229" spans="2:9" ht="13.5" thickBot="1"/>
    <row r="230" spans="2:9" ht="13.5" thickBot="1">
      <c r="B230" s="1068" t="s">
        <v>86</v>
      </c>
      <c r="C230" s="1069"/>
      <c r="D230" s="1069"/>
      <c r="E230" s="1069"/>
      <c r="F230" s="1070"/>
    </row>
    <row r="231" spans="2:9" ht="26.25" thickBot="1">
      <c r="B231" s="94" t="s">
        <v>69</v>
      </c>
      <c r="C231" s="151" t="s">
        <v>70</v>
      </c>
      <c r="D231" s="58" t="s">
        <v>71</v>
      </c>
      <c r="E231" s="59" t="s">
        <v>72</v>
      </c>
      <c r="F231" s="57" t="s">
        <v>73</v>
      </c>
    </row>
    <row r="232" spans="2:9" ht="13.5" thickBot="1">
      <c r="B232" s="140" t="s">
        <v>75</v>
      </c>
      <c r="C232" s="141"/>
      <c r="D232" s="141"/>
      <c r="E232" s="142"/>
      <c r="F232" s="889" t="e" cm="1">
        <f t="array" ref="F232">+_xlfn.IFS(C226=$O$6,_xlfn.XLOOKUP(C227,Contra_clima_exterior,$O$19:$V$19),C226=$W$6,_xlfn.XLOOKUP(C227,Contra_espacios_no_acondicionados_y_terreno,$W$19:$AC$19))</f>
        <v>#N/A</v>
      </c>
    </row>
    <row r="233" spans="2:9">
      <c r="B233" s="86"/>
      <c r="C233" s="508"/>
      <c r="D233" s="509"/>
      <c r="E233" s="510"/>
      <c r="F233" s="144" t="str">
        <f t="shared" ref="F233:F240" si="9">IFERROR(C233/E233,"")</f>
        <v/>
      </c>
    </row>
    <row r="234" spans="2:9">
      <c r="B234" s="84"/>
      <c r="C234" s="511"/>
      <c r="D234" s="512"/>
      <c r="E234" s="513"/>
      <c r="F234" s="144" t="str">
        <f t="shared" si="9"/>
        <v/>
      </c>
    </row>
    <row r="235" spans="2:9">
      <c r="B235" s="84"/>
      <c r="C235" s="511"/>
      <c r="D235" s="512"/>
      <c r="E235" s="513"/>
      <c r="F235" s="144" t="str">
        <f t="shared" si="9"/>
        <v/>
      </c>
    </row>
    <row r="236" spans="2:9">
      <c r="B236" s="84"/>
      <c r="C236" s="511"/>
      <c r="D236" s="512"/>
      <c r="E236" s="513"/>
      <c r="F236" s="144" t="str">
        <f t="shared" si="9"/>
        <v/>
      </c>
    </row>
    <row r="237" spans="2:9">
      <c r="B237" s="84"/>
      <c r="C237" s="511"/>
      <c r="D237" s="512"/>
      <c r="E237" s="513"/>
      <c r="F237" s="144" t="str">
        <f t="shared" si="9"/>
        <v/>
      </c>
    </row>
    <row r="238" spans="2:9">
      <c r="B238" s="84"/>
      <c r="C238" s="511"/>
      <c r="D238" s="512"/>
      <c r="E238" s="513"/>
      <c r="F238" s="144" t="str">
        <f t="shared" si="9"/>
        <v/>
      </c>
    </row>
    <row r="239" spans="2:9">
      <c r="B239" s="84"/>
      <c r="C239" s="511"/>
      <c r="D239" s="512"/>
      <c r="E239" s="513"/>
      <c r="F239" s="144" t="str">
        <f t="shared" si="9"/>
        <v/>
      </c>
    </row>
    <row r="240" spans="2:9" ht="13.5" thickBot="1">
      <c r="B240" s="85"/>
      <c r="C240" s="514"/>
      <c r="D240" s="515"/>
      <c r="E240" s="516"/>
      <c r="F240" s="144" t="str">
        <f t="shared" si="9"/>
        <v/>
      </c>
    </row>
    <row r="241" spans="2:6" ht="13.5" thickBot="1">
      <c r="B241" s="140" t="s">
        <v>78</v>
      </c>
      <c r="C241" s="141"/>
      <c r="D241" s="141"/>
      <c r="E241" s="142"/>
      <c r="F241" s="889" t="e" cm="1">
        <f t="array" ref="F241">+_xlfn.IFS(C226=$O$6,_xlfn.XLOOKUP(C227,Contra_clima_exterior,$O$20:$V$20),C226=$W$6,_xlfn.XLOOKUP(C227,Contra_espacios_no_acondicionados_y_terreno,$W$20:$AC$20))</f>
        <v>#N/A</v>
      </c>
    </row>
    <row r="242" spans="2:6">
      <c r="B242" s="1554" t="s">
        <v>79</v>
      </c>
      <c r="C242" s="1555"/>
      <c r="D242" s="1555"/>
      <c r="E242" s="1556"/>
      <c r="F242" s="146" t="e">
        <f>SUM(F232:F241)</f>
        <v>#N/A</v>
      </c>
    </row>
    <row r="243" spans="2:6" ht="13.5" thickBot="1">
      <c r="B243" s="1560" t="s">
        <v>87</v>
      </c>
      <c r="C243" s="1561"/>
      <c r="D243" s="1561"/>
      <c r="E243" s="1562"/>
      <c r="F243" s="150" t="e">
        <f>1/F242</f>
        <v>#N/A</v>
      </c>
    </row>
    <row r="244" spans="2:6" ht="13.5" thickBot="1"/>
    <row r="245" spans="2:6" ht="13.5" thickBot="1">
      <c r="B245" s="1068" t="s">
        <v>88</v>
      </c>
      <c r="C245" s="1069"/>
      <c r="D245" s="1069"/>
      <c r="E245" s="1069"/>
      <c r="F245" s="1070"/>
    </row>
    <row r="246" spans="2:6" ht="26.25" thickBot="1">
      <c r="B246" s="94" t="s">
        <v>69</v>
      </c>
      <c r="C246" s="151" t="s">
        <v>70</v>
      </c>
      <c r="D246" s="58" t="s">
        <v>71</v>
      </c>
      <c r="E246" s="59" t="s">
        <v>72</v>
      </c>
      <c r="F246" s="57" t="s">
        <v>73</v>
      </c>
    </row>
    <row r="247" spans="2:6" ht="13.5" thickBot="1">
      <c r="B247" s="140" t="s">
        <v>75</v>
      </c>
      <c r="C247" s="141"/>
      <c r="D247" s="141"/>
      <c r="E247" s="142"/>
      <c r="F247" s="889" t="e" cm="1">
        <f t="array" ref="F247">+_xlfn.IFS(C226=$O$6,_xlfn.XLOOKUP(C227,Contra_clima_exterior,$O$19:$V$19),C226=$W$6,_xlfn.XLOOKUP(C227,Contra_espacios_no_acondicionados_y_terreno,$W$19:$AC$19))</f>
        <v>#N/A</v>
      </c>
    </row>
    <row r="248" spans="2:6">
      <c r="B248" s="86"/>
      <c r="C248" s="508"/>
      <c r="D248" s="509"/>
      <c r="E248" s="510"/>
      <c r="F248" s="144" t="str">
        <f t="shared" ref="F248:F255" si="10">IFERROR(C248/E248,"")</f>
        <v/>
      </c>
    </row>
    <row r="249" spans="2:6">
      <c r="B249" s="84"/>
      <c r="C249" s="511"/>
      <c r="D249" s="512"/>
      <c r="E249" s="513"/>
      <c r="F249" s="144" t="str">
        <f t="shared" si="10"/>
        <v/>
      </c>
    </row>
    <row r="250" spans="2:6">
      <c r="B250" s="84"/>
      <c r="C250" s="511"/>
      <c r="D250" s="512"/>
      <c r="E250" s="513"/>
      <c r="F250" s="144" t="str">
        <f t="shared" si="10"/>
        <v/>
      </c>
    </row>
    <row r="251" spans="2:6">
      <c r="B251" s="84"/>
      <c r="C251" s="511"/>
      <c r="D251" s="512"/>
      <c r="E251" s="513"/>
      <c r="F251" s="144" t="str">
        <f t="shared" si="10"/>
        <v/>
      </c>
    </row>
    <row r="252" spans="2:6">
      <c r="B252" s="84"/>
      <c r="C252" s="511"/>
      <c r="D252" s="512"/>
      <c r="E252" s="513"/>
      <c r="F252" s="144" t="str">
        <f t="shared" si="10"/>
        <v/>
      </c>
    </row>
    <row r="253" spans="2:6">
      <c r="B253" s="84"/>
      <c r="C253" s="511"/>
      <c r="D253" s="512"/>
      <c r="E253" s="513"/>
      <c r="F253" s="144" t="str">
        <f t="shared" si="10"/>
        <v/>
      </c>
    </row>
    <row r="254" spans="2:6">
      <c r="B254" s="84"/>
      <c r="C254" s="511"/>
      <c r="D254" s="512"/>
      <c r="E254" s="513"/>
      <c r="F254" s="144" t="str">
        <f t="shared" si="10"/>
        <v/>
      </c>
    </row>
    <row r="255" spans="2:6" ht="13.5" thickBot="1">
      <c r="B255" s="85"/>
      <c r="C255" s="514"/>
      <c r="D255" s="515"/>
      <c r="E255" s="516"/>
      <c r="F255" s="144" t="str">
        <f t="shared" si="10"/>
        <v/>
      </c>
    </row>
    <row r="256" spans="2:6" ht="13.5" thickBot="1">
      <c r="B256" s="140" t="s">
        <v>78</v>
      </c>
      <c r="C256" s="141"/>
      <c r="D256" s="141"/>
      <c r="E256" s="142"/>
      <c r="F256" s="889" t="e" cm="1">
        <f t="array" ref="F256">+_xlfn.IFS(C226=$O$6,_xlfn.XLOOKUP(C227,Contra_clima_exterior,$O$20:$V$20),C226=$W$6,_xlfn.XLOOKUP(C227,Contra_espacios_no_acondicionados_y_terreno,$W$20:$AC$20))</f>
        <v>#N/A</v>
      </c>
    </row>
    <row r="257" spans="2:6">
      <c r="B257" s="1554" t="s">
        <v>79</v>
      </c>
      <c r="C257" s="1555"/>
      <c r="D257" s="1555"/>
      <c r="E257" s="1556"/>
      <c r="F257" s="146" t="e">
        <f>SUM(F247:F256)</f>
        <v>#N/A</v>
      </c>
    </row>
    <row r="258" spans="2:6" ht="13.5" thickBot="1">
      <c r="B258" s="1560" t="s">
        <v>89</v>
      </c>
      <c r="C258" s="1561"/>
      <c r="D258" s="1561"/>
      <c r="E258" s="1562"/>
      <c r="F258" s="150" t="e">
        <f>1/F257</f>
        <v>#N/A</v>
      </c>
    </row>
    <row r="259" spans="2:6" ht="13.5" thickBot="1"/>
    <row r="260" spans="2:6" ht="13.5" thickBot="1">
      <c r="B260" s="1074" t="s">
        <v>90</v>
      </c>
      <c r="C260" s="1074"/>
      <c r="D260" s="1074"/>
      <c r="E260" s="1074"/>
      <c r="F260" s="1074"/>
    </row>
    <row r="261" spans="2:6" ht="13.5" thickBot="1">
      <c r="B261" s="94" t="s">
        <v>91</v>
      </c>
      <c r="C261" s="1075" t="s">
        <v>92</v>
      </c>
      <c r="D261" s="1075"/>
      <c r="E261" s="1075" t="s">
        <v>93</v>
      </c>
      <c r="F261" s="1075"/>
    </row>
    <row r="262" spans="2:6">
      <c r="B262" s="92" t="s">
        <v>94</v>
      </c>
      <c r="C262" s="1066"/>
      <c r="D262" s="1066"/>
      <c r="E262" s="1067" t="e">
        <f>F243*C262</f>
        <v>#N/A</v>
      </c>
      <c r="F262" s="1067"/>
    </row>
    <row r="263" spans="2:6" ht="13.5" thickBot="1">
      <c r="B263" s="91" t="s">
        <v>95</v>
      </c>
      <c r="C263" s="1060">
        <f>1-C262</f>
        <v>1</v>
      </c>
      <c r="D263" s="1060"/>
      <c r="E263" s="1061" t="e">
        <f>F258*C263</f>
        <v>#N/A</v>
      </c>
      <c r="F263" s="1061"/>
    </row>
    <row r="264" spans="2:6" ht="13.5" thickBot="1">
      <c r="B264" s="1062" t="s">
        <v>96</v>
      </c>
      <c r="C264" s="1062"/>
      <c r="D264" s="1062"/>
      <c r="E264" s="1063" t="e">
        <f>SUM(E262:F263)</f>
        <v>#N/A</v>
      </c>
      <c r="F264" s="1064"/>
    </row>
  </sheetData>
  <sheetProtection algorithmName="SHA-512" hashValue="a8lEiyPffeHN70DvGjrr/93oYwttlMQ27QFabyrOCTlyS2yDg614JaGHxZt56gI6XrD72EehT3EhhpcOZRKlsw==" saltValue="8sm2MTJUNwjxooLzLreM/A==" spinCount="100000" sheet="1" objects="1" scenarios="1"/>
  <mergeCells count="92">
    <mergeCell ref="B264:D264"/>
    <mergeCell ref="E264:F264"/>
    <mergeCell ref="C261:D261"/>
    <mergeCell ref="E261:F261"/>
    <mergeCell ref="C262:D262"/>
    <mergeCell ref="E262:F262"/>
    <mergeCell ref="C263:D263"/>
    <mergeCell ref="E263:F263"/>
    <mergeCell ref="B260:F260"/>
    <mergeCell ref="C221:D221"/>
    <mergeCell ref="E221:F221"/>
    <mergeCell ref="B222:D222"/>
    <mergeCell ref="E222:F222"/>
    <mergeCell ref="B242:E242"/>
    <mergeCell ref="B243:E243"/>
    <mergeCell ref="B245:F245"/>
    <mergeCell ref="B257:E257"/>
    <mergeCell ref="B258:E258"/>
    <mergeCell ref="H226:I226"/>
    <mergeCell ref="B230:F230"/>
    <mergeCell ref="B216:E216"/>
    <mergeCell ref="B218:F218"/>
    <mergeCell ref="C219:D219"/>
    <mergeCell ref="E219:F219"/>
    <mergeCell ref="C220:D220"/>
    <mergeCell ref="E220:F220"/>
    <mergeCell ref="H184:I184"/>
    <mergeCell ref="B188:F188"/>
    <mergeCell ref="B200:E200"/>
    <mergeCell ref="B201:E201"/>
    <mergeCell ref="B203:F203"/>
    <mergeCell ref="B215:E215"/>
    <mergeCell ref="C178:D178"/>
    <mergeCell ref="E178:F178"/>
    <mergeCell ref="C179:D179"/>
    <mergeCell ref="E179:F179"/>
    <mergeCell ref="B180:D180"/>
    <mergeCell ref="E180:F180"/>
    <mergeCell ref="C177:D177"/>
    <mergeCell ref="E177:F177"/>
    <mergeCell ref="H126:L138"/>
    <mergeCell ref="B137:E137"/>
    <mergeCell ref="B138:E138"/>
    <mergeCell ref="H142:I142"/>
    <mergeCell ref="B146:F146"/>
    <mergeCell ref="B158:E158"/>
    <mergeCell ref="B159:E159"/>
    <mergeCell ref="B161:F161"/>
    <mergeCell ref="B173:E173"/>
    <mergeCell ref="B174:E174"/>
    <mergeCell ref="B176:F176"/>
    <mergeCell ref="H122:I122"/>
    <mergeCell ref="B94:F94"/>
    <mergeCell ref="C95:D95"/>
    <mergeCell ref="E95:F95"/>
    <mergeCell ref="C96:D96"/>
    <mergeCell ref="E96:F96"/>
    <mergeCell ref="C97:D97"/>
    <mergeCell ref="E97:F97"/>
    <mergeCell ref="B98:D98"/>
    <mergeCell ref="H102:I102"/>
    <mergeCell ref="H106:L118"/>
    <mergeCell ref="B117:E117"/>
    <mergeCell ref="B118:E118"/>
    <mergeCell ref="B92:E92"/>
    <mergeCell ref="B55:F55"/>
    <mergeCell ref="B56:F56"/>
    <mergeCell ref="H56:L56"/>
    <mergeCell ref="B57:F57"/>
    <mergeCell ref="B58:F58"/>
    <mergeCell ref="H60:I60"/>
    <mergeCell ref="B64:F64"/>
    <mergeCell ref="B76:E76"/>
    <mergeCell ref="B77:E77"/>
    <mergeCell ref="B79:F79"/>
    <mergeCell ref="B91:E91"/>
    <mergeCell ref="B30:F30"/>
    <mergeCell ref="Q30:Y51"/>
    <mergeCell ref="B31:F31"/>
    <mergeCell ref="H31:L31"/>
    <mergeCell ref="B32:F32"/>
    <mergeCell ref="B33:F33"/>
    <mergeCell ref="H35:I35"/>
    <mergeCell ref="H39:L51"/>
    <mergeCell ref="B50:E50"/>
    <mergeCell ref="B51:E51"/>
    <mergeCell ref="N5:AC5"/>
    <mergeCell ref="O6:V6"/>
    <mergeCell ref="W6:AC6"/>
    <mergeCell ref="O29:O39"/>
    <mergeCell ref="P29:U29"/>
    <mergeCell ref="V29:Y29"/>
  </mergeCells>
  <conditionalFormatting sqref="H7:I23">
    <cfRule type="containsText" dxfId="353" priority="1" operator="containsText" text="No cumple">
      <formula>NOT(ISERROR(SEARCH("No cumple",H7)))</formula>
    </cfRule>
    <cfRule type="containsText" dxfId="352" priority="2" operator="containsText" text="Cumple">
      <formula>NOT(ISERROR(SEARCH("Cumple",H7)))</formula>
    </cfRule>
  </conditionalFormatting>
  <conditionalFormatting sqref="I37">
    <cfRule type="containsText" dxfId="351" priority="15" operator="containsText" text="No cumple">
      <formula>NOT(ISERROR(SEARCH("No cumple",I37)))</formula>
    </cfRule>
    <cfRule type="containsText" dxfId="350" priority="16" operator="containsText" text="Cumple">
      <formula>NOT(ISERROR(SEARCH("Cumple",I37)))</formula>
    </cfRule>
  </conditionalFormatting>
  <conditionalFormatting sqref="I62">
    <cfRule type="containsText" dxfId="349" priority="13" operator="containsText" text="No cumple">
      <formula>NOT(ISERROR(SEARCH("No cumple",I62)))</formula>
    </cfRule>
    <cfRule type="containsText" dxfId="348" priority="14" operator="containsText" text="Cumple">
      <formula>NOT(ISERROR(SEARCH("Cumple",I62)))</formula>
    </cfRule>
  </conditionalFormatting>
  <conditionalFormatting sqref="I104">
    <cfRule type="containsText" dxfId="347" priority="5" operator="containsText" text="No cumple">
      <formula>NOT(ISERROR(SEARCH("No cumple",I104)))</formula>
    </cfRule>
    <cfRule type="containsText" dxfId="346" priority="6" operator="containsText" text="Cumple">
      <formula>NOT(ISERROR(SEARCH("Cumple",I104)))</formula>
    </cfRule>
  </conditionalFormatting>
  <conditionalFormatting sqref="I124">
    <cfRule type="containsText" dxfId="345" priority="3" operator="containsText" text="No cumple">
      <formula>NOT(ISERROR(SEARCH("No cumple",I124)))</formula>
    </cfRule>
    <cfRule type="containsText" dxfId="344" priority="4" operator="containsText" text="Cumple">
      <formula>NOT(ISERROR(SEARCH("Cumple",I124)))</formula>
    </cfRule>
  </conditionalFormatting>
  <conditionalFormatting sqref="I144">
    <cfRule type="containsText" dxfId="343" priority="11" operator="containsText" text="No cumple">
      <formula>NOT(ISERROR(SEARCH("No cumple",I144)))</formula>
    </cfRule>
    <cfRule type="containsText" dxfId="342" priority="12" operator="containsText" text="Cumple">
      <formula>NOT(ISERROR(SEARCH("Cumple",I144)))</formula>
    </cfRule>
  </conditionalFormatting>
  <conditionalFormatting sqref="I186">
    <cfRule type="containsText" dxfId="341" priority="9" operator="containsText" text="No cumple">
      <formula>NOT(ISERROR(SEARCH("No cumple",I186)))</formula>
    </cfRule>
    <cfRule type="containsText" dxfId="340" priority="10" operator="containsText" text="Cumple">
      <formula>NOT(ISERROR(SEARCH("Cumple",I186)))</formula>
    </cfRule>
  </conditionalFormatting>
  <conditionalFormatting sqref="I228">
    <cfRule type="containsText" dxfId="339" priority="7" operator="containsText" text="No cumple">
      <formula>NOT(ISERROR(SEARCH("No cumple",I228)))</formula>
    </cfRule>
    <cfRule type="containsText" dxfId="338" priority="8" operator="containsText" text="Cumple">
      <formula>NOT(ISERROR(SEARCH("Cumple",I228)))</formula>
    </cfRule>
  </conditionalFormatting>
  <dataValidations count="10">
    <dataValidation type="list" allowBlank="1" showInputMessage="1" showErrorMessage="1" sqref="D7:D23" xr:uid="{E1FD58A1-FD92-467B-A184-20970F6A56CC}">
      <formula1>INDIRECT(SUBSTITUTE($C7," ","_"))</formula1>
    </dataValidation>
    <dataValidation type="list" allowBlank="1" showInputMessage="1" showErrorMessage="1" sqref="C35 C122 C60 C142 C184 C226 C102 C7:C23" xr:uid="{E37FCBAE-3F0F-497A-AF5F-D7145BC0BDCD}">
      <formula1>$O$6:$AC$6</formula1>
    </dataValidation>
    <dataValidation type="list" allowBlank="1" showInputMessage="1" showErrorMessage="1" sqref="C3" xr:uid="{73ED3F3C-84AB-4DD4-8A16-5CC0E44CC043}">
      <formula1>$N$8:$N$16</formula1>
    </dataValidation>
    <dataValidation type="list" allowBlank="1" showInputMessage="1" showErrorMessage="1" sqref="C36" xr:uid="{F2D83417-7E53-4316-8DDF-F142EEF2372D}">
      <formula1>INDIRECT(SUBSTITUTE($C$35," ","_"))</formula1>
    </dataValidation>
    <dataValidation type="list" allowBlank="1" showInputMessage="1" showErrorMessage="1" sqref="C61" xr:uid="{36C1D10D-7A59-4288-BE8E-0FBFED0D7BE9}">
      <formula1>INDIRECT(SUBSTITUTE($C$60," ","_"))</formula1>
    </dataValidation>
    <dataValidation type="list" allowBlank="1" showInputMessage="1" showErrorMessage="1" sqref="C103" xr:uid="{FDDE3B8C-2C8B-4D92-987F-8CCB9A257802}">
      <formula1>INDIRECT(SUBSTITUTE($C$102," ","_"))</formula1>
    </dataValidation>
    <dataValidation type="list" allowBlank="1" showInputMessage="1" showErrorMessage="1" sqref="C123" xr:uid="{762A19B6-163C-4F7B-9E2B-5F5CE47A528D}">
      <formula1>INDIRECT(SUBSTITUTE($C$122," ","_"))</formula1>
    </dataValidation>
    <dataValidation type="list" allowBlank="1" showInputMessage="1" showErrorMessage="1" sqref="C143" xr:uid="{07D08879-B247-47BE-BAF4-6F76AAF59200}">
      <formula1>INDIRECT(SUBSTITUTE($C$142," ","_"))</formula1>
    </dataValidation>
    <dataValidation type="list" allowBlank="1" showInputMessage="1" showErrorMessage="1" sqref="C185" xr:uid="{1700E282-EC15-4254-B2BD-5412A6CCA9FD}">
      <formula1>INDIRECT(SUBSTITUTE($C$184," ","_"))</formula1>
    </dataValidation>
    <dataValidation type="list" allowBlank="1" showInputMessage="1" showErrorMessage="1" sqref="C227" xr:uid="{9EC61A4F-DAF0-4940-B16A-346DBBD2CABE}">
      <formula1>INDIRECT(SUBSTITUTE($C$226," ","_"))</formula1>
    </dataValidation>
  </dataValidations>
  <pageMargins left="0.7" right="0.7" top="0.98624999999999996" bottom="0.75" header="0.3" footer="0.3"/>
  <pageSetup paperSize="9" scale="65" orientation="landscape" r:id="rId1"/>
  <headerFooter>
    <oddHeader>&amp;L&amp;G</oddHeader>
    <oddFooter>&amp;L&amp;D&amp;R&amp;A</oddFooter>
  </headerFooter>
  <colBreaks count="1" manualBreakCount="1">
    <brk id="7" max="261" man="1"/>
  </col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7F8F4-697B-42D7-831B-60D249BDE498}">
  <dimension ref="A1:AV267"/>
  <sheetViews>
    <sheetView showGridLines="0" zoomScaleNormal="100" zoomScalePageLayoutView="80" workbookViewId="0">
      <selection activeCell="C38" sqref="C38:C39"/>
    </sheetView>
  </sheetViews>
  <sheetFormatPr defaultColWidth="8.7109375" defaultRowHeight="12.75"/>
  <cols>
    <col min="1" max="1" width="5.28515625" customWidth="1"/>
    <col min="2" max="2" width="26.140625" customWidth="1"/>
    <col min="3" max="3" width="45.5703125" customWidth="1"/>
    <col min="4" max="4" width="39.140625" customWidth="1"/>
    <col min="5" max="6" width="15.7109375" customWidth="1"/>
    <col min="7" max="7" width="2.28515625" customWidth="1"/>
    <col min="8" max="8" width="29.5703125" customWidth="1"/>
    <col min="9" max="9" width="22.42578125" customWidth="1"/>
    <col min="11" max="11" width="9.28515625" customWidth="1"/>
    <col min="12" max="17" width="5.28515625" customWidth="1"/>
    <col min="18" max="19" width="7.5703125" customWidth="1"/>
    <col min="20" max="25" width="5.28515625" customWidth="1"/>
    <col min="27" max="27" width="16.5703125" hidden="1" customWidth="1"/>
    <col min="28" max="28" width="22.28515625" hidden="1" customWidth="1"/>
    <col min="29" max="29" width="9.140625" hidden="1" customWidth="1"/>
    <col min="30" max="34" width="9.140625" style="1" hidden="1" customWidth="1"/>
    <col min="35" max="36" width="14.7109375" hidden="1" customWidth="1"/>
    <col min="37" max="42" width="7.5703125" hidden="1" customWidth="1"/>
    <col min="43" max="43" width="8.7109375" hidden="1" customWidth="1"/>
    <col min="44" max="44" width="19.140625" style="1" hidden="1" customWidth="1"/>
    <col min="45" max="45" width="8.7109375" hidden="1" customWidth="1"/>
    <col min="46" max="46" width="21.28515625" hidden="1" customWidth="1"/>
    <col min="47" max="47" width="15.85546875" hidden="1" customWidth="1"/>
    <col min="48" max="48" width="24.28515625" hidden="1" customWidth="1"/>
    <col min="49" max="49" width="0" hidden="1" customWidth="1"/>
  </cols>
  <sheetData>
    <row r="1" spans="1:48" s="117" customFormat="1" ht="26.85" customHeight="1">
      <c r="A1" s="115" t="s">
        <v>13</v>
      </c>
      <c r="B1" s="116" t="s">
        <v>14</v>
      </c>
      <c r="C1" s="116"/>
      <c r="D1" s="116"/>
      <c r="E1" s="116" t="s">
        <v>129</v>
      </c>
      <c r="F1" s="116"/>
      <c r="G1" s="116"/>
      <c r="H1" s="116"/>
      <c r="I1" s="116" t="s">
        <v>5</v>
      </c>
      <c r="AD1" s="796"/>
      <c r="AE1" s="796"/>
      <c r="AF1" s="796"/>
      <c r="AG1" s="796"/>
      <c r="AH1" s="796"/>
      <c r="AR1" s="796"/>
    </row>
    <row r="2" spans="1:48" ht="13.5" thickBot="1">
      <c r="E2" s="887"/>
      <c r="F2" s="887"/>
      <c r="G2" s="887"/>
      <c r="H2" s="887"/>
      <c r="I2" s="887"/>
      <c r="J2" s="887"/>
      <c r="K2" s="887"/>
      <c r="L2" s="887"/>
      <c r="M2" s="887"/>
      <c r="N2" s="887"/>
      <c r="O2" s="887"/>
      <c r="P2" s="887"/>
      <c r="Q2" s="887"/>
      <c r="R2" s="887"/>
      <c r="S2" s="887"/>
      <c r="T2" s="887"/>
      <c r="U2" s="887"/>
      <c r="V2" s="887"/>
      <c r="W2" s="887"/>
      <c r="X2" s="887"/>
      <c r="Y2" s="887"/>
      <c r="Z2" s="887"/>
      <c r="AA2" s="887"/>
    </row>
    <row r="3" spans="1:48" ht="13.5" thickBot="1">
      <c r="B3" s="82" t="s">
        <v>130</v>
      </c>
      <c r="C3" s="1034"/>
      <c r="E3" s="887"/>
      <c r="F3" s="887"/>
      <c r="G3" s="887"/>
      <c r="H3" s="887"/>
      <c r="I3" s="887"/>
      <c r="J3" s="887"/>
      <c r="K3" s="887"/>
      <c r="L3" s="887"/>
      <c r="M3" s="887"/>
      <c r="N3" s="887"/>
      <c r="O3" s="887"/>
      <c r="P3" s="887"/>
      <c r="Q3" s="887"/>
      <c r="R3" s="887"/>
      <c r="S3" s="887"/>
      <c r="T3" s="887"/>
      <c r="U3" s="887"/>
      <c r="V3" s="887"/>
      <c r="W3" s="887"/>
      <c r="X3" s="887"/>
      <c r="Y3" s="887"/>
      <c r="Z3" s="887"/>
      <c r="AA3" s="887"/>
    </row>
    <row r="4" spans="1:48" ht="26.25" thickBot="1">
      <c r="B4" s="1031" t="s">
        <v>131</v>
      </c>
      <c r="C4" s="1030"/>
      <c r="E4" s="887"/>
      <c r="F4" s="887"/>
      <c r="G4" s="887"/>
    </row>
    <row r="5" spans="1:48" ht="39" thickBot="1">
      <c r="B5" s="1031" t="s">
        <v>132</v>
      </c>
      <c r="C5" s="1030"/>
      <c r="E5" s="887"/>
      <c r="F5" s="887"/>
      <c r="G5" s="887"/>
      <c r="K5" s="1107" t="s">
        <v>133</v>
      </c>
      <c r="L5" s="1107"/>
      <c r="M5" s="1107"/>
      <c r="N5" s="1107"/>
      <c r="O5" s="1107"/>
      <c r="P5" s="1107"/>
      <c r="Q5" s="1107"/>
      <c r="R5" s="1107"/>
      <c r="S5" s="1107"/>
      <c r="T5" s="1107"/>
      <c r="U5" s="1107"/>
      <c r="V5" s="1107"/>
      <c r="W5" s="1107"/>
      <c r="X5" s="1107"/>
      <c r="Y5" s="1107"/>
      <c r="AB5" s="1092" t="s">
        <v>134</v>
      </c>
      <c r="AC5" s="1092"/>
      <c r="AD5" s="1092"/>
      <c r="AE5" s="1092"/>
      <c r="AF5" s="1092"/>
      <c r="AG5" s="1092"/>
      <c r="AH5" s="1092"/>
      <c r="AI5" s="1092"/>
      <c r="AJ5" s="1092"/>
      <c r="AK5" s="1092"/>
      <c r="AL5" s="1092"/>
      <c r="AM5" s="1092"/>
      <c r="AN5" s="1092"/>
      <c r="AO5" s="1092"/>
      <c r="AP5" s="1092"/>
      <c r="AT5" s="200"/>
      <c r="AU5" s="1105" t="s">
        <v>135</v>
      </c>
      <c r="AV5" s="1106"/>
    </row>
    <row r="6" spans="1:48" ht="27" customHeight="1" thickBot="1">
      <c r="B6" s="987"/>
      <c r="C6" s="4"/>
      <c r="D6" s="4"/>
      <c r="E6" s="887"/>
      <c r="F6" s="887"/>
      <c r="G6" s="887"/>
      <c r="K6" s="902"/>
      <c r="L6" s="1093" t="str">
        <f>AC6</f>
        <v>Contra clima exterior</v>
      </c>
      <c r="M6" s="1094"/>
      <c r="N6" s="1094"/>
      <c r="O6" s="1094"/>
      <c r="P6" s="1094"/>
      <c r="Q6" s="1094"/>
      <c r="R6" s="1094"/>
      <c r="S6" s="1094"/>
      <c r="T6" s="1095"/>
      <c r="U6" s="1096" t="str">
        <f>AL6</f>
        <v>Contra espacios no acondicionados y terreno</v>
      </c>
      <c r="V6" s="1097"/>
      <c r="W6" s="1097"/>
      <c r="X6" s="1097"/>
      <c r="Y6" s="1098"/>
      <c r="AB6" s="1103" t="s">
        <v>136</v>
      </c>
      <c r="AC6" s="1093" t="s">
        <v>102</v>
      </c>
      <c r="AD6" s="1094"/>
      <c r="AE6" s="1094"/>
      <c r="AF6" s="1094"/>
      <c r="AG6" s="1094"/>
      <c r="AH6" s="1094"/>
      <c r="AI6" s="1094"/>
      <c r="AJ6" s="1094"/>
      <c r="AK6" s="1095"/>
      <c r="AL6" s="1096" t="s">
        <v>98</v>
      </c>
      <c r="AM6" s="1097"/>
      <c r="AN6" s="1097"/>
      <c r="AO6" s="1097"/>
      <c r="AP6" s="1098"/>
      <c r="AT6" s="1039" t="s">
        <v>137</v>
      </c>
      <c r="AU6" s="1038" t="s">
        <v>138</v>
      </c>
      <c r="AV6" s="1038" t="s">
        <v>139</v>
      </c>
    </row>
    <row r="7" spans="1:48" ht="65.25" customHeight="1" thickBot="1">
      <c r="B7" s="653" t="s">
        <v>15</v>
      </c>
      <c r="C7" s="655"/>
      <c r="D7" s="654"/>
      <c r="E7" s="1108" t="s">
        <v>118</v>
      </c>
      <c r="F7" s="1110" t="s">
        <v>119</v>
      </c>
      <c r="G7" s="887"/>
      <c r="K7" s="1035" t="str">
        <f>AB6</f>
        <v>Zona  climática</v>
      </c>
      <c r="L7" s="1033" t="str">
        <f>AC7</f>
        <v>Techumbre Ligera</v>
      </c>
      <c r="M7" s="1033" t="str">
        <f t="shared" ref="M7:Y7" si="0">AD7</f>
        <v>Techumbe Sólida</v>
      </c>
      <c r="N7" s="1033" t="str">
        <f t="shared" si="0"/>
        <v>Muro Ligero</v>
      </c>
      <c r="O7" s="1033" t="str">
        <f t="shared" si="0"/>
        <v>Muro Sólido</v>
      </c>
      <c r="P7" s="1033" t="str">
        <f t="shared" si="0"/>
        <v>Piso Ligero</v>
      </c>
      <c r="Q7" s="1033" t="str">
        <f t="shared" si="0"/>
        <v>Piso Sólido</v>
      </c>
      <c r="R7" s="1033" t="str">
        <f t="shared" si="0"/>
        <v>Ventana en fachada con ≤ 40% de acristalamiento</v>
      </c>
      <c r="S7" s="1033" t="str">
        <f t="shared" si="0"/>
        <v>Ventana en fachada con &gt; 40% de acristalamiento</v>
      </c>
      <c r="T7" s="1033" t="str">
        <f t="shared" si="0"/>
        <v>Puerta</v>
      </c>
      <c r="U7" s="1033" t="str">
        <f t="shared" si="0"/>
        <v>Muro Ligero</v>
      </c>
      <c r="V7" s="1033" t="str">
        <f t="shared" si="0"/>
        <v>Muro Sólido</v>
      </c>
      <c r="W7" s="1033" t="str">
        <f t="shared" si="0"/>
        <v>Piso Ligero</v>
      </c>
      <c r="X7" s="1033" t="str">
        <f t="shared" si="0"/>
        <v>Piso Sólido</v>
      </c>
      <c r="Y7" s="1033" t="str">
        <f t="shared" si="0"/>
        <v>Puerta</v>
      </c>
      <c r="AB7" s="1104"/>
      <c r="AC7" s="627" t="s">
        <v>23</v>
      </c>
      <c r="AD7" s="627" t="s">
        <v>24</v>
      </c>
      <c r="AE7" s="627" t="s">
        <v>25</v>
      </c>
      <c r="AF7" s="627" t="s">
        <v>26</v>
      </c>
      <c r="AG7" s="627" t="s">
        <v>27</v>
      </c>
      <c r="AH7" s="627" t="s">
        <v>28</v>
      </c>
      <c r="AI7" s="627" t="s">
        <v>140</v>
      </c>
      <c r="AJ7" s="627" t="s">
        <v>141</v>
      </c>
      <c r="AK7" s="627" t="s">
        <v>30</v>
      </c>
      <c r="AL7" s="627" t="s">
        <v>25</v>
      </c>
      <c r="AM7" s="627" t="s">
        <v>26</v>
      </c>
      <c r="AN7" s="627" t="s">
        <v>27</v>
      </c>
      <c r="AO7" s="627" t="s">
        <v>28</v>
      </c>
      <c r="AP7" s="627" t="s">
        <v>30</v>
      </c>
      <c r="AR7" s="315" t="s">
        <v>142</v>
      </c>
      <c r="AT7" s="1040" t="s">
        <v>138</v>
      </c>
      <c r="AU7" s="200" t="str">
        <f>IF(AND($C$4=$AT7,$C$5=AU$6),$AA$13,"")</f>
        <v/>
      </c>
      <c r="AV7" s="200" t="str">
        <f>IF(AND($C$4=$AT7,$C$5=AV$6),$AA$13,"")</f>
        <v/>
      </c>
    </row>
    <row r="8" spans="1:48" ht="27.4" customHeight="1" thickBot="1">
      <c r="B8" s="1000" t="s">
        <v>17</v>
      </c>
      <c r="C8" s="1000" t="s">
        <v>64</v>
      </c>
      <c r="D8" s="1000" t="s">
        <v>66</v>
      </c>
      <c r="E8" s="1109"/>
      <c r="F8" s="1111"/>
      <c r="G8" s="7"/>
      <c r="H8" s="1002" t="s">
        <v>120</v>
      </c>
      <c r="I8" s="1002" t="s">
        <v>121</v>
      </c>
      <c r="K8" s="794" t="str">
        <f>IF(ISBLANK(C3),"-",C3)</f>
        <v>-</v>
      </c>
      <c r="L8" s="791" t="e">
        <f>VLOOKUP($AR$15,$AB$6:$AP$17,2,0)</f>
        <v>#N/A</v>
      </c>
      <c r="M8" s="791" t="e">
        <f>VLOOKUP($AR$15,$AB$6:$AP$17,3,0)</f>
        <v>#N/A</v>
      </c>
      <c r="N8" s="791" t="e">
        <f>VLOOKUP($AR$15,$AB$6:$AP$17,4,0)</f>
        <v>#N/A</v>
      </c>
      <c r="O8" s="791" t="e">
        <f>VLOOKUP($AR$15,$AB$6:$AP$17,5,0)</f>
        <v>#N/A</v>
      </c>
      <c r="P8" s="791" t="e">
        <f>VLOOKUP($AR$15,$AB$6:$AP$17,6,0)</f>
        <v>#N/A</v>
      </c>
      <c r="Q8" s="791" t="e">
        <f>VLOOKUP($AR$15,$AB$6:$AP$17,7,0)</f>
        <v>#N/A</v>
      </c>
      <c r="R8" s="791" t="e">
        <f>VLOOKUP($AR$15,$AB$6:$AP$17,8,0)</f>
        <v>#N/A</v>
      </c>
      <c r="S8" s="791" t="e">
        <f>VLOOKUP($AR$15,$AB$6:$AP$17,9,0)</f>
        <v>#N/A</v>
      </c>
      <c r="T8" s="791" t="e">
        <f>VLOOKUP($AR$15,$AB$6:$AP$17,10,0)</f>
        <v>#N/A</v>
      </c>
      <c r="U8" s="791" t="e">
        <f>VLOOKUP($AR$15,$AB$6:$AP$17,11,0)</f>
        <v>#N/A</v>
      </c>
      <c r="V8" s="791" t="e">
        <f>VLOOKUP($AR$15,$AB$6:$AP$17,12,0)</f>
        <v>#N/A</v>
      </c>
      <c r="W8" s="791" t="e">
        <f>VLOOKUP($AR$15,$AB$6:$AP$17,13,0)</f>
        <v>#N/A</v>
      </c>
      <c r="X8" s="791" t="e">
        <f>VLOOKUP($AR$15,$AB$6:$AP$17,14,0)</f>
        <v>#N/A</v>
      </c>
      <c r="Y8" s="791" t="e">
        <f>VLOOKUP($AR$15,$AB$6:$AP$17,15,0)</f>
        <v>#N/A</v>
      </c>
      <c r="AB8" s="318">
        <v>0</v>
      </c>
      <c r="AC8" s="318">
        <v>0.4</v>
      </c>
      <c r="AD8" s="318">
        <v>0.6</v>
      </c>
      <c r="AE8" s="318">
        <v>0.65</v>
      </c>
      <c r="AF8" s="318">
        <v>0.75</v>
      </c>
      <c r="AG8" s="318">
        <v>0.65</v>
      </c>
      <c r="AH8" s="318">
        <v>0.75</v>
      </c>
      <c r="AI8" s="318">
        <v>3.8</v>
      </c>
      <c r="AJ8" s="318">
        <v>1.9</v>
      </c>
      <c r="AK8" s="318">
        <v>1.9</v>
      </c>
      <c r="AL8" s="318">
        <v>0.6</v>
      </c>
      <c r="AM8" s="318">
        <v>0.75</v>
      </c>
      <c r="AN8" s="318">
        <v>0.75</v>
      </c>
      <c r="AO8" s="318">
        <v>0.75</v>
      </c>
      <c r="AP8" s="318">
        <v>3</v>
      </c>
      <c r="AR8" s="148" t="s">
        <v>138</v>
      </c>
      <c r="AT8" s="1039" t="s">
        <v>139</v>
      </c>
      <c r="AU8" s="200" t="str">
        <f>IF(AND($C$4=$AT8,$C$5=AU$6),$AA$11,"")</f>
        <v/>
      </c>
      <c r="AV8" s="200" t="str">
        <f>IF(AND($C$4=$AT8,$C$5=AV$6),$AA$12,"")</f>
        <v/>
      </c>
    </row>
    <row r="9" spans="1:48">
      <c r="B9" s="1004" t="s">
        <v>22</v>
      </c>
      <c r="C9" s="1005"/>
      <c r="D9" s="1005"/>
      <c r="E9" s="1006"/>
      <c r="F9" s="1007" t="str">
        <f>IF(C9=$L$6,HLOOKUP(D9,$L$7:$T$8,2,0),IF(C9=$U$6,HLOOKUP(D9,$U$7:$Y$8,2,0),""))</f>
        <v/>
      </c>
      <c r="G9" s="1008"/>
      <c r="H9" s="1020" t="str" cm="1">
        <f t="array" ref="H9">_xlfn.IFS(OR(E9="",F9=""),"",E9&lt;=F9,"Cumple",E9&gt;F9,"No cumple")</f>
        <v/>
      </c>
      <c r="I9" s="1021" t="str" cm="1">
        <f t="array" ref="I9">_xlfn.IFS(OR(E9="",F9=""),"",E9*110%&lt;=F9,"Cumple",E9*110%&gt;F9,"No cumple")</f>
        <v/>
      </c>
      <c r="AB9" s="318">
        <v>1</v>
      </c>
      <c r="AC9" s="318">
        <v>0.4</v>
      </c>
      <c r="AD9" s="318">
        <v>0.6</v>
      </c>
      <c r="AE9" s="318">
        <v>0.65</v>
      </c>
      <c r="AF9" s="318">
        <v>0.75</v>
      </c>
      <c r="AG9" s="318">
        <v>0.65</v>
      </c>
      <c r="AH9" s="318">
        <v>0.75</v>
      </c>
      <c r="AI9" s="318">
        <v>3.8</v>
      </c>
      <c r="AJ9" s="318">
        <v>1.9</v>
      </c>
      <c r="AK9" s="318">
        <v>1.9</v>
      </c>
      <c r="AL9" s="318">
        <v>0.6</v>
      </c>
      <c r="AM9" s="318">
        <v>0.75</v>
      </c>
      <c r="AN9" s="318">
        <v>0.75</v>
      </c>
      <c r="AO9" s="318">
        <v>0.75</v>
      </c>
      <c r="AP9" s="318">
        <v>3</v>
      </c>
      <c r="AR9" s="148" t="s">
        <v>139</v>
      </c>
      <c r="AT9" s="1037"/>
      <c r="AU9" s="1037"/>
      <c r="AV9" s="1037"/>
    </row>
    <row r="10" spans="1:48">
      <c r="B10" s="1009" t="s">
        <v>31</v>
      </c>
      <c r="C10" s="1010"/>
      <c r="D10" s="1010"/>
      <c r="E10" s="1011"/>
      <c r="F10" s="1012" t="str">
        <f t="shared" ref="F10:F25" si="1">IF(C10=$L$6,HLOOKUP(D10,$L$7:$T$8,2,0),IF(C10=$U$6,HLOOKUP(D10,$U$7:$Y$8,2,0),""))</f>
        <v/>
      </c>
      <c r="G10" s="7"/>
      <c r="H10" s="1022" t="str" cm="1">
        <f t="array" ref="H10">_xlfn.IFS(OR(E10="",F10=""),"",E10&lt;=F10,"Cumple",E10&gt;F10,"No cumple")</f>
        <v/>
      </c>
      <c r="I10" s="1023" t="str" cm="1">
        <f t="array" ref="I10">_xlfn.IFS(OR(E10="",F10=""),"",E10*110%&lt;=F10,"Cumple",E10*110%&gt;F10,"No cumple")</f>
        <v/>
      </c>
      <c r="AB10" s="318">
        <v>2</v>
      </c>
      <c r="AC10" s="318">
        <v>0.4</v>
      </c>
      <c r="AD10" s="318">
        <v>0.6</v>
      </c>
      <c r="AE10" s="318">
        <v>0.65</v>
      </c>
      <c r="AF10" s="318">
        <v>0.75</v>
      </c>
      <c r="AG10" s="318">
        <v>0.65</v>
      </c>
      <c r="AH10" s="318">
        <v>0.75</v>
      </c>
      <c r="AI10" s="318">
        <v>3.8</v>
      </c>
      <c r="AJ10" s="318">
        <v>1.9</v>
      </c>
      <c r="AK10" s="318">
        <v>1.9</v>
      </c>
      <c r="AL10" s="318">
        <v>0.6</v>
      </c>
      <c r="AM10" s="318">
        <v>0.75</v>
      </c>
      <c r="AN10" s="318">
        <v>0.75</v>
      </c>
      <c r="AO10" s="318">
        <v>0.75</v>
      </c>
      <c r="AP10" s="318">
        <v>3</v>
      </c>
    </row>
    <row r="11" spans="1:48">
      <c r="B11" s="1009" t="s">
        <v>33</v>
      </c>
      <c r="C11" s="1010"/>
      <c r="D11" s="1010"/>
      <c r="E11" s="1011"/>
      <c r="F11" s="1012" t="str">
        <f t="shared" si="1"/>
        <v/>
      </c>
      <c r="G11" s="7"/>
      <c r="H11" s="1022" t="str" cm="1">
        <f t="array" ref="H11">_xlfn.IFS(OR(E11="",F11=""),"",E11&lt;=F11,"Cumple",E11&gt;F11,"No cumple")</f>
        <v/>
      </c>
      <c r="I11" s="1023" t="str" cm="1">
        <f t="array" ref="I11">_xlfn.IFS(OR(E11="",F11=""),"",E11*110%&lt;=F11,"Cumple",E11*110%&gt;F11,"No cumple")</f>
        <v/>
      </c>
      <c r="AA11" s="200" t="s">
        <v>135</v>
      </c>
      <c r="AB11" s="1036" t="str">
        <f>3&amp;AA11</f>
        <v>3acondicionado</v>
      </c>
      <c r="AC11" s="318">
        <v>0.4</v>
      </c>
      <c r="AD11" s="318">
        <v>0.5</v>
      </c>
      <c r="AE11" s="318">
        <v>0.4</v>
      </c>
      <c r="AF11" s="318">
        <v>0.6</v>
      </c>
      <c r="AG11" s="318">
        <v>0.4</v>
      </c>
      <c r="AH11" s="318">
        <v>0.6</v>
      </c>
      <c r="AI11" s="1032" t="s">
        <v>143</v>
      </c>
      <c r="AJ11" s="1032">
        <v>3</v>
      </c>
      <c r="AK11" s="318">
        <v>3</v>
      </c>
      <c r="AL11" s="1032" t="s">
        <v>143</v>
      </c>
      <c r="AM11" s="1032" t="s">
        <v>143</v>
      </c>
      <c r="AN11" s="1032" t="s">
        <v>143</v>
      </c>
      <c r="AO11" s="1032" t="s">
        <v>143</v>
      </c>
      <c r="AP11" s="318">
        <v>3</v>
      </c>
      <c r="AR11" s="148"/>
    </row>
    <row r="12" spans="1:48">
      <c r="B12" s="1009" t="s">
        <v>35</v>
      </c>
      <c r="C12" s="1010"/>
      <c r="D12" s="1010"/>
      <c r="E12" s="1011"/>
      <c r="F12" s="1012" t="str">
        <f t="shared" si="1"/>
        <v/>
      </c>
      <c r="G12" s="7"/>
      <c r="H12" s="1022"/>
      <c r="I12" s="1023"/>
      <c r="AA12" s="200" t="s">
        <v>144</v>
      </c>
      <c r="AB12" s="1036" t="str">
        <f t="shared" ref="AB12:AB13" si="2">3&amp;AA12</f>
        <v>3non_acondicionado</v>
      </c>
      <c r="AC12" s="318">
        <v>0.4</v>
      </c>
      <c r="AD12" s="318">
        <v>0.5</v>
      </c>
      <c r="AE12" s="318">
        <v>0.4</v>
      </c>
      <c r="AF12" s="318">
        <v>0.6</v>
      </c>
      <c r="AG12" s="318">
        <v>0.4</v>
      </c>
      <c r="AH12" s="318">
        <v>0.6</v>
      </c>
      <c r="AI12" s="1032" t="s">
        <v>143</v>
      </c>
      <c r="AJ12" s="1032" t="s">
        <v>143</v>
      </c>
      <c r="AK12" s="1032" t="s">
        <v>143</v>
      </c>
      <c r="AL12" s="1032" t="s">
        <v>143</v>
      </c>
      <c r="AM12" s="1032" t="s">
        <v>143</v>
      </c>
      <c r="AN12" s="1032" t="s">
        <v>143</v>
      </c>
      <c r="AO12" s="1032" t="s">
        <v>143</v>
      </c>
      <c r="AP12" s="1032" t="s">
        <v>143</v>
      </c>
    </row>
    <row r="13" spans="1:48">
      <c r="B13" s="1009" t="s">
        <v>37</v>
      </c>
      <c r="C13" s="1010"/>
      <c r="D13" s="1010"/>
      <c r="E13" s="1011"/>
      <c r="F13" s="1012" t="str">
        <f t="shared" si="1"/>
        <v/>
      </c>
      <c r="G13" s="7"/>
      <c r="H13" s="1022" t="str" cm="1">
        <f t="array" ref="H13">_xlfn.IFS(OR(E13="",F13=""),"",E13&lt;=F13,"Cumple",E13&gt;F13,"No cumple")</f>
        <v/>
      </c>
      <c r="I13" s="1023" t="str" cm="1">
        <f t="array" ref="I13">_xlfn.IFS(OR(E13="",F13=""),"",E13*110%&lt;=F13,"Cumple",E13*110%&gt;F13,"No cumple")</f>
        <v/>
      </c>
      <c r="AA13" s="200" t="s">
        <v>137</v>
      </c>
      <c r="AB13" s="1036" t="str">
        <f t="shared" si="2"/>
        <v>3clima_optimo</v>
      </c>
      <c r="AC13" s="1032">
        <v>0.6</v>
      </c>
      <c r="AD13" s="318">
        <v>0.6</v>
      </c>
      <c r="AE13" s="1032" t="s">
        <v>143</v>
      </c>
      <c r="AF13" s="1032" t="s">
        <v>143</v>
      </c>
      <c r="AG13" s="1032" t="s">
        <v>143</v>
      </c>
      <c r="AH13" s="1032" t="s">
        <v>143</v>
      </c>
      <c r="AI13" s="1032" t="s">
        <v>143</v>
      </c>
      <c r="AJ13" s="1032" t="s">
        <v>143</v>
      </c>
      <c r="AK13" s="1032" t="s">
        <v>143</v>
      </c>
      <c r="AL13" s="1032" t="s">
        <v>143</v>
      </c>
      <c r="AM13" s="1032" t="s">
        <v>143</v>
      </c>
      <c r="AN13" s="1032" t="s">
        <v>143</v>
      </c>
      <c r="AO13" s="1032" t="s">
        <v>143</v>
      </c>
      <c r="AP13" s="1032" t="s">
        <v>143</v>
      </c>
    </row>
    <row r="14" spans="1:48" ht="13.5" thickBot="1">
      <c r="B14" s="1013" t="s">
        <v>145</v>
      </c>
      <c r="C14" s="1014"/>
      <c r="D14" s="1014"/>
      <c r="E14" s="1015"/>
      <c r="F14" s="1016" t="str">
        <f t="shared" si="1"/>
        <v/>
      </c>
      <c r="G14" s="7"/>
      <c r="H14" s="1024" t="str" cm="1">
        <f t="array" ref="H14">_xlfn.IFS(OR(E14="",F14=""),"",E14&lt;=F14,"Cumple",E14&gt;F14,"No cumple")</f>
        <v/>
      </c>
      <c r="I14" s="1025" t="str" cm="1">
        <f t="array" ref="I14">_xlfn.IFS(OR(E14="",F14=""),"",E14*110%&lt;=F14,"Cumple",E14*110%&gt;F14,"No cumple")</f>
        <v/>
      </c>
      <c r="AB14" s="318">
        <v>4</v>
      </c>
      <c r="AC14" s="318">
        <v>0.3</v>
      </c>
      <c r="AD14" s="318">
        <v>0.4</v>
      </c>
      <c r="AE14" s="318">
        <v>0.4</v>
      </c>
      <c r="AF14" s="318">
        <v>0.5</v>
      </c>
      <c r="AG14" s="318">
        <v>0.4</v>
      </c>
      <c r="AH14" s="318">
        <v>0.5</v>
      </c>
      <c r="AI14" s="318">
        <v>1.9</v>
      </c>
      <c r="AJ14" s="318">
        <v>1.9</v>
      </c>
      <c r="AK14" s="318">
        <v>1.9</v>
      </c>
      <c r="AL14" s="318">
        <v>0.4</v>
      </c>
      <c r="AM14" s="318">
        <v>0.5</v>
      </c>
      <c r="AN14" s="318">
        <v>0.5</v>
      </c>
      <c r="AO14" s="318">
        <v>0.5</v>
      </c>
      <c r="AP14" s="318">
        <v>3</v>
      </c>
      <c r="AR14" s="626" t="s">
        <v>130</v>
      </c>
    </row>
    <row r="15" spans="1:48" ht="13.5" thickBot="1">
      <c r="B15" s="1017" t="s">
        <v>39</v>
      </c>
      <c r="C15" s="1005"/>
      <c r="D15" s="1005"/>
      <c r="E15" s="1006"/>
      <c r="F15" s="1018" t="str">
        <f t="shared" si="1"/>
        <v/>
      </c>
      <c r="G15" s="7"/>
      <c r="H15" s="1020" t="str" cm="1">
        <f t="array" ref="H15">_xlfn.IFS(OR(E15="",F15=""),"",E15&lt;=F15,"Cumple",E15&gt;F15,"No cumple")</f>
        <v/>
      </c>
      <c r="I15" s="1021" t="str" cm="1">
        <f t="array" ref="I15">_xlfn.IFS(OR(E15="",F15=""),"",E15*110%&lt;=F15,"Cumple",E15*110%&gt;F15,"No cumple")</f>
        <v/>
      </c>
      <c r="AB15" s="318">
        <v>5</v>
      </c>
      <c r="AC15" s="318">
        <v>0.25</v>
      </c>
      <c r="AD15" s="318">
        <v>0.25</v>
      </c>
      <c r="AE15" s="318">
        <v>0.25</v>
      </c>
      <c r="AF15" s="318">
        <v>0.25</v>
      </c>
      <c r="AG15" s="318">
        <v>0.25</v>
      </c>
      <c r="AH15" s="318">
        <v>0.25</v>
      </c>
      <c r="AI15" s="318">
        <v>1.9</v>
      </c>
      <c r="AJ15" s="318">
        <v>1.9</v>
      </c>
      <c r="AK15" s="318">
        <v>1.9</v>
      </c>
      <c r="AL15" s="318">
        <v>0.4</v>
      </c>
      <c r="AM15" s="318">
        <v>0.4</v>
      </c>
      <c r="AN15" s="318">
        <v>0.5</v>
      </c>
      <c r="AO15" s="318">
        <v>0.5</v>
      </c>
      <c r="AP15" s="318">
        <v>3</v>
      </c>
      <c r="AR15" s="1041" t="str">
        <f>IF(ISBLANK(C3),"-",IF(C3=3,C3&amp;AU7&amp;AV7&amp;AU8&amp;AV8,C3))</f>
        <v>-</v>
      </c>
    </row>
    <row r="16" spans="1:48">
      <c r="B16" s="1009" t="s">
        <v>41</v>
      </c>
      <c r="C16" s="1010"/>
      <c r="D16" s="1010"/>
      <c r="E16" s="1011"/>
      <c r="F16" s="1012" t="str">
        <f t="shared" si="1"/>
        <v/>
      </c>
      <c r="G16" s="7"/>
      <c r="H16" s="1022" t="str" cm="1">
        <f t="array" ref="H16">_xlfn.IFS(OR(E16="",F16=""),"",E16&lt;=F16,"Cumple",E16&gt;F16,"No cumple")</f>
        <v/>
      </c>
      <c r="I16" s="1023" t="str" cm="1">
        <f t="array" ref="I16">_xlfn.IFS(OR(E16="",F16=""),"",E16*110%&lt;=F16,"Cumple",E16*110%&gt;F16,"No cumple")</f>
        <v/>
      </c>
      <c r="AB16" s="318">
        <v>6</v>
      </c>
      <c r="AC16" s="318">
        <v>0.18</v>
      </c>
      <c r="AD16" s="318">
        <v>0.18</v>
      </c>
      <c r="AE16" s="318">
        <v>0.18</v>
      </c>
      <c r="AF16" s="318">
        <v>0.18</v>
      </c>
      <c r="AG16" s="318">
        <v>0.18</v>
      </c>
      <c r="AH16" s="318">
        <v>0.18</v>
      </c>
      <c r="AI16" s="318">
        <v>1.5</v>
      </c>
      <c r="AJ16" s="318">
        <v>1.5</v>
      </c>
      <c r="AK16" s="318">
        <v>1.5</v>
      </c>
      <c r="AL16" s="318">
        <v>0.25</v>
      </c>
      <c r="AM16" s="318">
        <v>0.25</v>
      </c>
      <c r="AN16" s="318">
        <v>0.25</v>
      </c>
      <c r="AO16" s="318">
        <v>0.25</v>
      </c>
      <c r="AP16" s="318">
        <v>3</v>
      </c>
    </row>
    <row r="17" spans="2:44" ht="13.5" thickBot="1">
      <c r="B17" s="1013" t="s">
        <v>43</v>
      </c>
      <c r="C17" s="1014"/>
      <c r="D17" s="1014"/>
      <c r="E17" s="1015"/>
      <c r="F17" s="1016" t="str">
        <f>IF(C17=$L$6,HLOOKUP(D17,$L$7:$T$8,2,0),IF(C17=$U$6,HLOOKUP(D17,$U$7:$Y$8,2,0),""))</f>
        <v/>
      </c>
      <c r="G17" s="7"/>
      <c r="H17" s="1024" t="str" cm="1">
        <f t="array" ref="H17">_xlfn.IFS(OR(E17="",F17=""),"",E17&lt;=F17,"Cumple",E17&gt;F17,"No cumple")</f>
        <v/>
      </c>
      <c r="I17" s="1025" t="str" cm="1">
        <f t="array" ref="I17">_xlfn.IFS(OR(E17="",F17=""),"",E17*110%&lt;=F17,"Cumple",E17*110%&gt;F17,"No cumple")</f>
        <v/>
      </c>
      <c r="AB17" s="318">
        <v>7</v>
      </c>
      <c r="AC17" s="318">
        <v>0.18</v>
      </c>
      <c r="AD17" s="318">
        <v>0.18</v>
      </c>
      <c r="AE17" s="318">
        <v>0.18</v>
      </c>
      <c r="AF17" s="318">
        <v>0.18</v>
      </c>
      <c r="AG17" s="318">
        <v>0.18</v>
      </c>
      <c r="AH17" s="318">
        <v>0.18</v>
      </c>
      <c r="AI17" s="318">
        <v>1.5</v>
      </c>
      <c r="AJ17" s="318">
        <v>1.5</v>
      </c>
      <c r="AK17" s="318">
        <v>1.5</v>
      </c>
      <c r="AL17" s="318">
        <v>0.25</v>
      </c>
      <c r="AM17" s="318">
        <v>0.25</v>
      </c>
      <c r="AN17" s="318">
        <v>0.25</v>
      </c>
      <c r="AO17" s="318">
        <v>0.25</v>
      </c>
      <c r="AP17" s="318">
        <v>3</v>
      </c>
    </row>
    <row r="18" spans="2:44">
      <c r="B18" s="1017" t="s">
        <v>45</v>
      </c>
      <c r="C18" s="1005"/>
      <c r="D18" s="1005"/>
      <c r="E18" s="1006"/>
      <c r="F18" s="1018" t="str">
        <f t="shared" si="1"/>
        <v/>
      </c>
      <c r="G18" s="7"/>
      <c r="H18" s="1020" t="str" cm="1">
        <f t="array" ref="H18">_xlfn.IFS(OR(E18="",F18=""),"",E18&lt;=F18,"Cumple",E18&gt;F18,"No cumple")</f>
        <v/>
      </c>
      <c r="I18" s="1021" t="str" cm="1">
        <f t="array" ref="I18">_xlfn.IFS(OR(E18="",F18=""),"",E18*110%&lt;=F18,"Cumple",E18*110%&gt;F18,"No cumple")</f>
        <v/>
      </c>
      <c r="AB18" s="887"/>
      <c r="AC18" s="887"/>
      <c r="AD18" s="887"/>
      <c r="AE18" s="887"/>
      <c r="AF18" s="887"/>
      <c r="AG18" s="887"/>
      <c r="AH18"/>
      <c r="AK18" s="1"/>
      <c r="AL18" s="1"/>
      <c r="AM18" s="1"/>
      <c r="AN18" s="1"/>
      <c r="AO18" s="1"/>
    </row>
    <row r="19" spans="2:44">
      <c r="B19" s="1009" t="s">
        <v>47</v>
      </c>
      <c r="C19" s="1010"/>
      <c r="D19" s="1010"/>
      <c r="E19" s="1011"/>
      <c r="F19" s="1012" t="str">
        <f t="shared" si="1"/>
        <v/>
      </c>
      <c r="G19" s="7"/>
      <c r="H19" s="1022" t="str" cm="1">
        <f t="array" ref="H19">_xlfn.IFS(OR(E19="",F19=""),"",E19&lt;=F19,"Cumple",E19&gt;F19,"No cumple")</f>
        <v/>
      </c>
      <c r="I19" s="1023" t="str" cm="1">
        <f t="array" ref="I19">_xlfn.IFS(OR(E19="",F19=""),"",E19*110%&lt;=F19,"Cumple",E19*110%&gt;F19,"No cumple")</f>
        <v/>
      </c>
      <c r="AB19" s="1026" t="s">
        <v>51</v>
      </c>
      <c r="AC19" s="1027"/>
      <c r="AD19" s="1027"/>
      <c r="AE19" s="1027"/>
      <c r="AF19" s="1027"/>
      <c r="AG19" s="1027"/>
      <c r="AH19" s="1027"/>
      <c r="AI19" s="1027"/>
      <c r="AJ19" s="1027"/>
      <c r="AK19" s="1027"/>
      <c r="AL19" s="1027"/>
      <c r="AM19" s="1027"/>
      <c r="AN19" s="1027"/>
      <c r="AO19" s="1027"/>
      <c r="AP19" s="1028"/>
    </row>
    <row r="20" spans="2:44" ht="13.5" thickBot="1">
      <c r="B20" s="1013" t="s">
        <v>49</v>
      </c>
      <c r="C20" s="1014"/>
      <c r="D20" s="1014"/>
      <c r="E20" s="1015"/>
      <c r="F20" s="1016" t="str">
        <f t="shared" si="1"/>
        <v/>
      </c>
      <c r="G20" s="7"/>
      <c r="H20" s="1024" t="str" cm="1">
        <f t="array" ref="H20">_xlfn.IFS(OR(E20="",F20=""),"",E20&lt;=F20,"Cumple",E20&gt;F20,"No cumple")</f>
        <v/>
      </c>
      <c r="I20" s="1025" t="str" cm="1">
        <f t="array" ref="I20">_xlfn.IFS(OR(E20="",F20=""),"",E20*110%&lt;=F20,"Cumple",E20*110%&gt;F20,"No cumple")</f>
        <v/>
      </c>
      <c r="AB20" s="890" t="s">
        <v>53</v>
      </c>
      <c r="AC20" s="890">
        <v>0.1</v>
      </c>
      <c r="AD20" s="890">
        <v>0.1</v>
      </c>
      <c r="AE20" s="890">
        <v>0.13</v>
      </c>
      <c r="AF20" s="890">
        <v>0.13</v>
      </c>
      <c r="AG20" s="890">
        <v>0.17</v>
      </c>
      <c r="AH20" s="890">
        <v>0.17</v>
      </c>
      <c r="AI20" s="890">
        <v>0.13</v>
      </c>
      <c r="AJ20" s="890">
        <v>0.13</v>
      </c>
      <c r="AK20" s="890">
        <v>0.13</v>
      </c>
      <c r="AL20" s="318">
        <v>0.13</v>
      </c>
      <c r="AM20" s="318">
        <v>0.13</v>
      </c>
      <c r="AN20" s="318">
        <v>0.17</v>
      </c>
      <c r="AO20" s="318">
        <v>0.17</v>
      </c>
      <c r="AP20" s="318">
        <v>0.13</v>
      </c>
    </row>
    <row r="21" spans="2:44">
      <c r="B21" s="1017" t="s">
        <v>50</v>
      </c>
      <c r="C21" s="1005"/>
      <c r="D21" s="1005"/>
      <c r="E21" s="1006"/>
      <c r="F21" s="1018" t="str">
        <f t="shared" si="1"/>
        <v/>
      </c>
      <c r="G21" s="7"/>
      <c r="H21" s="1020" t="str" cm="1">
        <f t="array" ref="H21">_xlfn.IFS(OR(E21="",F21=""),"",E21&lt;=F21,"Cumple",E21&gt;F21,"No cumple")</f>
        <v/>
      </c>
      <c r="I21" s="1021" t="str" cm="1">
        <f t="array" ref="I21">_xlfn.IFS(OR(E21="",F21=""),"",E21*110%&lt;=F21,"Cumple",E21*110%&gt;F21,"No cumple")</f>
        <v/>
      </c>
      <c r="J21" s="887"/>
      <c r="K21" s="887"/>
      <c r="L21" s="887"/>
      <c r="M21" s="887"/>
      <c r="N21" s="887"/>
      <c r="O21" s="887"/>
      <c r="P21" s="887"/>
      <c r="Q21" s="887"/>
      <c r="R21" s="887"/>
      <c r="S21" s="887"/>
      <c r="T21" s="887"/>
      <c r="U21" s="887"/>
      <c r="V21" s="887"/>
      <c r="W21" s="887"/>
      <c r="X21" s="887"/>
      <c r="Y21" s="887"/>
      <c r="Z21" s="887"/>
      <c r="AA21" s="887"/>
      <c r="AB21" s="890" t="s">
        <v>55</v>
      </c>
      <c r="AC21" s="890">
        <v>0.04</v>
      </c>
      <c r="AD21" s="890">
        <v>0.04</v>
      </c>
      <c r="AE21" s="890">
        <v>0.04</v>
      </c>
      <c r="AF21" s="890">
        <v>0.04</v>
      </c>
      <c r="AG21" s="890">
        <v>0.04</v>
      </c>
      <c r="AH21" s="890">
        <v>0.04</v>
      </c>
      <c r="AI21" s="890">
        <v>0.04</v>
      </c>
      <c r="AJ21" s="890">
        <v>0.04</v>
      </c>
      <c r="AK21" s="890">
        <v>0.04</v>
      </c>
      <c r="AL21" s="318">
        <v>0.13</v>
      </c>
      <c r="AM21" s="318">
        <v>0.13</v>
      </c>
      <c r="AN21" s="318">
        <v>0.17</v>
      </c>
      <c r="AO21" s="318">
        <v>0.17</v>
      </c>
      <c r="AP21" s="318">
        <v>0.13</v>
      </c>
    </row>
    <row r="22" spans="2:44">
      <c r="B22" s="1009" t="s">
        <v>52</v>
      </c>
      <c r="C22" s="1010"/>
      <c r="D22" s="1010"/>
      <c r="E22" s="1011"/>
      <c r="F22" s="1012" t="str">
        <f t="shared" si="1"/>
        <v/>
      </c>
      <c r="G22" s="7"/>
      <c r="H22" s="1022" t="str" cm="1">
        <f t="array" ref="H22">_xlfn.IFS(OR(E22="",F22=""),"",E22&lt;=F22,"Cumple",E22&gt;F22,"No cumple")</f>
        <v/>
      </c>
      <c r="I22" s="1023" t="str" cm="1">
        <f t="array" ref="I22">_xlfn.IFS(OR(E22="",F22=""),"",E22*110%&lt;=F22,"Cumple",E22*110%&gt;F22,"No cumple")</f>
        <v/>
      </c>
    </row>
    <row r="23" spans="2:44" ht="13.5" thickBot="1">
      <c r="B23" s="1013" t="s">
        <v>54</v>
      </c>
      <c r="C23" s="1014"/>
      <c r="D23" s="1014"/>
      <c r="E23" s="1015"/>
      <c r="F23" s="1016" t="str">
        <f t="shared" si="1"/>
        <v/>
      </c>
      <c r="G23" s="7"/>
      <c r="H23" s="1024" t="str" cm="1">
        <f t="array" ref="H23">_xlfn.IFS(OR(E23="",F23=""),"",E23&lt;=F23,"Cumple",E23&gt;F23,"No cumple")</f>
        <v/>
      </c>
      <c r="I23" s="1025" t="str" cm="1">
        <f t="array" ref="I23">_xlfn.IFS(OR(E23="",F23=""),"",E23*110%&lt;=F23,"Cumple",E23*110%&gt;F23,"No cumple")</f>
        <v/>
      </c>
    </row>
    <row r="24" spans="2:44">
      <c r="B24" s="1017" t="s">
        <v>56</v>
      </c>
      <c r="C24" s="1005"/>
      <c r="D24" s="1005"/>
      <c r="E24" s="1006"/>
      <c r="F24" s="1018" t="str">
        <f t="shared" si="1"/>
        <v/>
      </c>
      <c r="G24" s="7"/>
      <c r="H24" s="1020" t="str" cm="1">
        <f t="array" ref="H24">_xlfn.IFS(OR(E24="",F24=""),"",E24&lt;=F24,"Cumple",E24&gt;F24,"No cumple")</f>
        <v/>
      </c>
      <c r="I24" s="1021" t="str" cm="1">
        <f t="array" ref="I24">_xlfn.IFS(OR(E24="",F24=""),"",E24*110%&lt;=F24,"Cumple",E24*110%&gt;F24,"No cumple")</f>
        <v/>
      </c>
    </row>
    <row r="25" spans="2:44">
      <c r="B25" s="1009" t="s">
        <v>57</v>
      </c>
      <c r="C25" s="1010"/>
      <c r="D25" s="1010"/>
      <c r="E25" s="1011"/>
      <c r="F25" s="1012" t="str">
        <f t="shared" si="1"/>
        <v/>
      </c>
      <c r="G25" s="7"/>
      <c r="H25" s="1022" t="str" cm="1">
        <f t="array" ref="H25">_xlfn.IFS(OR(E25="",F25=""),"",E25&lt;=F25,"Cumple",E25&gt;F25,"No cumple")</f>
        <v/>
      </c>
      <c r="I25" s="1023" t="str" cm="1">
        <f t="array" ref="I25">_xlfn.IFS(OR(E25="",F25=""),"",E25*110%&lt;=F25,"Cumple",E25*110%&gt;F25,"No cumple")</f>
        <v/>
      </c>
    </row>
    <row r="26" spans="2:44" ht="13.5" thickBot="1">
      <c r="B26" s="1013" t="s">
        <v>123</v>
      </c>
      <c r="C26" s="1014"/>
      <c r="D26" s="1014"/>
      <c r="E26" s="1015"/>
      <c r="F26" s="1016" t="str">
        <f>IF(C26=$L$6,HLOOKUP(D26,$L$7:$T$8,2,0),IF(C26=$U$6,HLOOKUP(D26,$U$7:$Y$8,2,0),""))</f>
        <v/>
      </c>
      <c r="G26" s="7"/>
      <c r="H26" s="1024" t="str" cm="1">
        <f t="array" ref="H26">_xlfn.IFS(OR(E26="",F26=""),"",E26&lt;=F26,"Cumple",E26&gt;F26,"No cumple")</f>
        <v/>
      </c>
      <c r="I26" s="1025" t="str" cm="1">
        <f t="array" ref="I26">_xlfn.IFS(OR(E26="",F26=""),"",E26*110%&lt;=F26,"Cumple",E26*110%&gt;F26,"No cumple")</f>
        <v/>
      </c>
    </row>
    <row r="30" spans="2:44" s="23" customFormat="1">
      <c r="B30" s="652" t="s">
        <v>58</v>
      </c>
      <c r="AD30" s="24"/>
      <c r="AE30" s="24"/>
      <c r="AF30" s="24"/>
      <c r="AG30" s="24"/>
      <c r="AH30" s="24"/>
      <c r="AR30" s="24"/>
    </row>
    <row r="31" spans="2:44" s="23" customFormat="1">
      <c r="B31" s="25" t="s">
        <v>59</v>
      </c>
      <c r="AD31" s="24"/>
      <c r="AE31" s="24"/>
      <c r="AF31" s="24"/>
      <c r="AG31" s="24"/>
      <c r="AH31" s="24"/>
      <c r="AR31" s="24"/>
    </row>
    <row r="32" spans="2:44">
      <c r="AC32" s="1553"/>
      <c r="AD32" s="1553"/>
      <c r="AE32" s="1553"/>
      <c r="AF32" s="1553"/>
      <c r="AG32" s="1553"/>
      <c r="AH32" s="1553"/>
      <c r="AI32" s="1553"/>
      <c r="AJ32" s="1553"/>
      <c r="AK32" s="1553"/>
      <c r="AL32" s="1553"/>
    </row>
    <row r="33" spans="2:38" ht="12.6" customHeight="1">
      <c r="B33" s="1077" t="s">
        <v>60</v>
      </c>
      <c r="C33" s="1077"/>
      <c r="D33" s="1077"/>
      <c r="E33" s="1077"/>
      <c r="F33" s="1077"/>
      <c r="AC33" s="1553"/>
      <c r="AE33" s="1099"/>
      <c r="AF33" s="1099"/>
      <c r="AG33" s="1099"/>
      <c r="AH33" s="1099"/>
      <c r="AI33" s="1099"/>
      <c r="AJ33" s="1099"/>
      <c r="AK33" s="1099"/>
      <c r="AL33" s="1099"/>
    </row>
    <row r="34" spans="2:38">
      <c r="B34" s="1078" t="s">
        <v>61</v>
      </c>
      <c r="C34" s="1078"/>
      <c r="D34" s="1078"/>
      <c r="E34" s="1078"/>
      <c r="F34" s="1078"/>
      <c r="H34" s="1553"/>
      <c r="I34" s="1553"/>
      <c r="J34" s="1553"/>
      <c r="K34" s="1553"/>
      <c r="L34" s="1553"/>
      <c r="AC34" s="1553"/>
      <c r="AE34" s="1099"/>
      <c r="AF34" s="1099"/>
      <c r="AG34" s="1099"/>
      <c r="AH34" s="1099"/>
      <c r="AI34" s="1099"/>
      <c r="AJ34" s="1099"/>
      <c r="AK34" s="1099"/>
      <c r="AL34" s="1099"/>
    </row>
    <row r="35" spans="2:38">
      <c r="B35" s="1078" t="s">
        <v>62</v>
      </c>
      <c r="C35" s="1078"/>
      <c r="D35" s="1078"/>
      <c r="E35" s="1078"/>
      <c r="F35" s="1078"/>
      <c r="AC35" s="1553"/>
      <c r="AE35" s="1099"/>
      <c r="AF35" s="1099"/>
      <c r="AG35" s="1099"/>
      <c r="AH35" s="1099"/>
      <c r="AI35" s="1099"/>
      <c r="AJ35" s="1099"/>
      <c r="AK35" s="1099"/>
      <c r="AL35" s="1099"/>
    </row>
    <row r="36" spans="2:38">
      <c r="B36" s="1078" t="s">
        <v>63</v>
      </c>
      <c r="C36" s="1078"/>
      <c r="D36" s="1078"/>
      <c r="E36" s="1078"/>
      <c r="F36" s="1078"/>
      <c r="AC36" s="1553"/>
      <c r="AE36" s="1099"/>
      <c r="AF36" s="1099"/>
      <c r="AG36" s="1099"/>
      <c r="AH36" s="1099"/>
      <c r="AI36" s="1099"/>
      <c r="AJ36" s="1099"/>
      <c r="AK36" s="1099"/>
      <c r="AL36" s="1099"/>
    </row>
    <row r="37" spans="2:38" ht="13.5" thickBot="1">
      <c r="C37" s="9"/>
      <c r="AC37" s="1553"/>
      <c r="AE37" s="1099"/>
      <c r="AF37" s="1099"/>
      <c r="AG37" s="1099"/>
      <c r="AH37" s="1099"/>
      <c r="AI37" s="1099"/>
      <c r="AJ37" s="1099"/>
      <c r="AK37" s="1099"/>
      <c r="AL37" s="1099"/>
    </row>
    <row r="38" spans="2:38" ht="13.5" thickBot="1">
      <c r="B38" s="82" t="s">
        <v>64</v>
      </c>
      <c r="C38" s="962"/>
      <c r="H38" s="1100" t="s">
        <v>124</v>
      </c>
      <c r="I38" s="1101"/>
      <c r="AC38" s="1553"/>
      <c r="AE38" s="1099"/>
      <c r="AF38" s="1099"/>
      <c r="AG38" s="1099"/>
      <c r="AH38" s="1099"/>
      <c r="AI38" s="1099"/>
      <c r="AJ38" s="1099"/>
      <c r="AK38" s="1099"/>
      <c r="AL38" s="1099"/>
    </row>
    <row r="39" spans="2:38" ht="13.5" thickBot="1">
      <c r="B39" s="82" t="s">
        <v>66</v>
      </c>
      <c r="C39" s="963"/>
      <c r="H39" s="896" t="s">
        <v>125</v>
      </c>
      <c r="I39" s="885" t="str">
        <f>IF(C38=$L$6,HLOOKUP(C39,$L$7:$T$8,2,0),IF(C38=$U$6,HLOOKUP(C39,$U$7:$Y$8,2,0),""))</f>
        <v/>
      </c>
      <c r="AC39" s="1553"/>
      <c r="AE39" s="1099"/>
      <c r="AF39" s="1099"/>
      <c r="AG39" s="1099"/>
      <c r="AH39" s="1099"/>
      <c r="AI39" s="1099"/>
      <c r="AJ39" s="1099"/>
      <c r="AK39" s="1099"/>
      <c r="AL39" s="1099"/>
    </row>
    <row r="40" spans="2:38" ht="13.5" thickBot="1">
      <c r="H40" s="94" t="s">
        <v>126</v>
      </c>
      <c r="I40" s="150" t="str" cm="1">
        <f t="array" ref="I40">IFERROR(_xlfn.IFS(F54&lt;=I39,"Cumple",F54&gt;I39,"No cumple"),"Completar cálculo")</f>
        <v>Completar cálculo</v>
      </c>
      <c r="AC40" s="1553"/>
      <c r="AE40" s="1099"/>
      <c r="AF40" s="1099"/>
      <c r="AG40" s="1099"/>
      <c r="AH40" s="1099"/>
      <c r="AI40" s="1099"/>
      <c r="AJ40" s="1099"/>
      <c r="AK40" s="1099"/>
      <c r="AL40" s="1099"/>
    </row>
    <row r="41" spans="2:38" ht="13.5" thickBot="1">
      <c r="AC41" s="1553"/>
      <c r="AE41" s="1099"/>
      <c r="AF41" s="1099"/>
      <c r="AG41" s="1099"/>
      <c r="AH41" s="1099"/>
      <c r="AI41" s="1099"/>
      <c r="AJ41" s="1099"/>
      <c r="AK41" s="1099"/>
      <c r="AL41" s="1099"/>
    </row>
    <row r="42" spans="2:38" s="139" customFormat="1" ht="25.5" customHeight="1" thickBot="1">
      <c r="B42" s="94" t="s">
        <v>69</v>
      </c>
      <c r="C42" s="151" t="s">
        <v>70</v>
      </c>
      <c r="D42" s="58" t="s">
        <v>71</v>
      </c>
      <c r="E42" s="59" t="s">
        <v>72</v>
      </c>
      <c r="F42" s="57" t="s">
        <v>73</v>
      </c>
      <c r="H42" s="1059" t="s">
        <v>146</v>
      </c>
      <c r="I42" s="1059"/>
      <c r="J42" s="1059"/>
      <c r="K42" s="1059"/>
      <c r="L42" s="1059"/>
      <c r="AC42" s="1553"/>
      <c r="AD42" s="1"/>
      <c r="AE42" s="1099"/>
      <c r="AF42" s="1099"/>
      <c r="AG42" s="1099"/>
      <c r="AH42" s="1099"/>
      <c r="AI42" s="1099"/>
      <c r="AJ42" s="1099"/>
      <c r="AK42" s="1099"/>
      <c r="AL42" s="1099"/>
    </row>
    <row r="43" spans="2:38" ht="13.5" thickBot="1">
      <c r="B43" s="140" t="s">
        <v>75</v>
      </c>
      <c r="C43" s="141"/>
      <c r="D43" s="141"/>
      <c r="E43" s="142"/>
      <c r="F43" s="1029" t="str">
        <f>IF(C38=$L$6,HLOOKUP(C39,$AC$7:$AK$21,14,0),IF(C38=$U$6,HLOOKUP(C39,$AL$7:$AP$21,14,0),""))</f>
        <v/>
      </c>
      <c r="H43" s="1059"/>
      <c r="I43" s="1059"/>
      <c r="J43" s="1059"/>
      <c r="K43" s="1059"/>
      <c r="L43" s="1059"/>
      <c r="AE43" s="1099"/>
      <c r="AF43" s="1099"/>
      <c r="AG43" s="1099"/>
      <c r="AH43" s="1099"/>
      <c r="AI43" s="1099"/>
      <c r="AJ43" s="1099"/>
      <c r="AK43" s="1099"/>
      <c r="AL43" s="1099"/>
    </row>
    <row r="44" spans="2:38">
      <c r="B44" s="86"/>
      <c r="C44" s="508"/>
      <c r="D44" s="509"/>
      <c r="E44" s="510"/>
      <c r="F44" s="143" t="str">
        <f t="shared" ref="F44:F51" si="3">IFERROR(C44/E44,"")</f>
        <v/>
      </c>
      <c r="H44" s="1059"/>
      <c r="I44" s="1059"/>
      <c r="J44" s="1059"/>
      <c r="K44" s="1059"/>
      <c r="L44" s="1059"/>
      <c r="AE44" s="1099"/>
      <c r="AF44" s="1099"/>
      <c r="AG44" s="1099"/>
      <c r="AH44" s="1099"/>
      <c r="AI44" s="1099"/>
      <c r="AJ44" s="1099"/>
      <c r="AK44" s="1099"/>
      <c r="AL44" s="1099"/>
    </row>
    <row r="45" spans="2:38">
      <c r="B45" s="84"/>
      <c r="C45" s="511"/>
      <c r="D45" s="512"/>
      <c r="E45" s="513"/>
      <c r="F45" s="144" t="str">
        <f t="shared" si="3"/>
        <v/>
      </c>
      <c r="H45" s="1059"/>
      <c r="I45" s="1059"/>
      <c r="J45" s="1059"/>
      <c r="K45" s="1059"/>
      <c r="L45" s="1059"/>
      <c r="AE45" s="1099"/>
      <c r="AF45" s="1099"/>
      <c r="AG45" s="1099"/>
      <c r="AH45" s="1099"/>
      <c r="AI45" s="1099"/>
      <c r="AJ45" s="1099"/>
      <c r="AK45" s="1099"/>
      <c r="AL45" s="1099"/>
    </row>
    <row r="46" spans="2:38">
      <c r="B46" s="84"/>
      <c r="C46" s="511"/>
      <c r="D46" s="512"/>
      <c r="E46" s="513"/>
      <c r="F46" s="144" t="str">
        <f t="shared" si="3"/>
        <v/>
      </c>
      <c r="H46" s="1059"/>
      <c r="I46" s="1059"/>
      <c r="J46" s="1059"/>
      <c r="K46" s="1059"/>
      <c r="L46" s="1059"/>
      <c r="AE46" s="1099"/>
      <c r="AF46" s="1099"/>
      <c r="AG46" s="1099"/>
      <c r="AH46" s="1099"/>
      <c r="AI46" s="1099"/>
      <c r="AJ46" s="1099"/>
      <c r="AK46" s="1099"/>
      <c r="AL46" s="1099"/>
    </row>
    <row r="47" spans="2:38">
      <c r="B47" s="84"/>
      <c r="C47" s="511"/>
      <c r="D47" s="512"/>
      <c r="E47" s="513"/>
      <c r="F47" s="144" t="str">
        <f t="shared" si="3"/>
        <v/>
      </c>
      <c r="H47" s="1059"/>
      <c r="I47" s="1059"/>
      <c r="J47" s="1059"/>
      <c r="K47" s="1059"/>
      <c r="L47" s="1059"/>
      <c r="AE47" s="1099"/>
      <c r="AF47" s="1099"/>
      <c r="AG47" s="1099"/>
      <c r="AH47" s="1099"/>
      <c r="AI47" s="1099"/>
      <c r="AJ47" s="1099"/>
      <c r="AK47" s="1099"/>
      <c r="AL47" s="1099"/>
    </row>
    <row r="48" spans="2:38">
      <c r="B48" s="84"/>
      <c r="C48" s="511"/>
      <c r="D48" s="512"/>
      <c r="E48" s="513"/>
      <c r="F48" s="144" t="str">
        <f t="shared" si="3"/>
        <v/>
      </c>
      <c r="H48" s="1059"/>
      <c r="I48" s="1059"/>
      <c r="J48" s="1059"/>
      <c r="K48" s="1059"/>
      <c r="L48" s="1059"/>
      <c r="AE48" s="1099"/>
      <c r="AF48" s="1099"/>
      <c r="AG48" s="1099"/>
      <c r="AH48" s="1099"/>
      <c r="AI48" s="1099"/>
      <c r="AJ48" s="1099"/>
      <c r="AK48" s="1099"/>
      <c r="AL48" s="1099"/>
    </row>
    <row r="49" spans="2:44">
      <c r="B49" s="84"/>
      <c r="C49" s="511"/>
      <c r="D49" s="512"/>
      <c r="E49" s="513"/>
      <c r="F49" s="144" t="str">
        <f t="shared" si="3"/>
        <v/>
      </c>
      <c r="H49" s="1059"/>
      <c r="I49" s="1059"/>
      <c r="J49" s="1059"/>
      <c r="K49" s="1059"/>
      <c r="L49" s="1059"/>
      <c r="AE49" s="1099"/>
      <c r="AF49" s="1099"/>
      <c r="AG49" s="1099"/>
      <c r="AH49" s="1099"/>
      <c r="AI49" s="1099"/>
      <c r="AJ49" s="1099"/>
      <c r="AK49" s="1099"/>
      <c r="AL49" s="1099"/>
    </row>
    <row r="50" spans="2:44">
      <c r="B50" s="84"/>
      <c r="C50" s="511"/>
      <c r="D50" s="512"/>
      <c r="E50" s="513"/>
      <c r="F50" s="144" t="str">
        <f t="shared" si="3"/>
        <v/>
      </c>
      <c r="H50" s="1059"/>
      <c r="I50" s="1059"/>
      <c r="J50" s="1059"/>
      <c r="K50" s="1059"/>
      <c r="L50" s="1059"/>
      <c r="AE50" s="1099"/>
      <c r="AF50" s="1099"/>
      <c r="AG50" s="1099"/>
      <c r="AH50" s="1099"/>
      <c r="AI50" s="1099"/>
      <c r="AJ50" s="1099"/>
      <c r="AK50" s="1099"/>
      <c r="AL50" s="1099"/>
    </row>
    <row r="51" spans="2:44" ht="13.5" thickBot="1">
      <c r="B51" s="85"/>
      <c r="C51" s="514"/>
      <c r="D51" s="515"/>
      <c r="E51" s="516"/>
      <c r="F51" s="145" t="str">
        <f t="shared" si="3"/>
        <v/>
      </c>
      <c r="H51" s="1059"/>
      <c r="I51" s="1059"/>
      <c r="J51" s="1059"/>
      <c r="K51" s="1059"/>
      <c r="L51" s="1059"/>
      <c r="AE51" s="1099"/>
      <c r="AF51" s="1099"/>
      <c r="AG51" s="1099"/>
      <c r="AH51" s="1099"/>
      <c r="AI51" s="1099"/>
      <c r="AJ51" s="1099"/>
      <c r="AK51" s="1099"/>
      <c r="AL51" s="1099"/>
    </row>
    <row r="52" spans="2:44" ht="13.5" thickBot="1">
      <c r="B52" s="140" t="s">
        <v>78</v>
      </c>
      <c r="C52" s="141"/>
      <c r="D52" s="141"/>
      <c r="E52" s="142"/>
      <c r="F52" s="1029" t="str">
        <f>IF(C38=$L$6,HLOOKUP(C39,$AC$7:$AK$21,15,0),IF(C38=$U$6,HLOOKUP(C39,$AL$7:$AP$21,15,0),""))</f>
        <v/>
      </c>
      <c r="H52" s="1059"/>
      <c r="I52" s="1059"/>
      <c r="J52" s="1059"/>
      <c r="K52" s="1059"/>
      <c r="L52" s="1059"/>
      <c r="AE52" s="1099"/>
      <c r="AF52" s="1099"/>
      <c r="AG52" s="1099"/>
      <c r="AH52" s="1099"/>
      <c r="AI52" s="1099"/>
      <c r="AJ52" s="1099"/>
      <c r="AK52" s="1099"/>
      <c r="AL52" s="1099"/>
    </row>
    <row r="53" spans="2:44">
      <c r="B53" s="1554" t="s">
        <v>79</v>
      </c>
      <c r="C53" s="1555"/>
      <c r="D53" s="1555"/>
      <c r="E53" s="1556"/>
      <c r="F53" s="146">
        <f>SUM(F43:F52)</f>
        <v>0</v>
      </c>
      <c r="H53" s="1059"/>
      <c r="I53" s="1059"/>
      <c r="J53" s="1059"/>
      <c r="K53" s="1059"/>
      <c r="L53" s="1059"/>
      <c r="AE53" s="1099"/>
      <c r="AF53" s="1099"/>
      <c r="AG53" s="1099"/>
      <c r="AH53" s="1099"/>
      <c r="AI53" s="1099"/>
      <c r="AJ53" s="1099"/>
      <c r="AK53" s="1099"/>
      <c r="AL53" s="1099"/>
    </row>
    <row r="54" spans="2:44" ht="13.5" thickBot="1">
      <c r="B54" s="1557" t="s">
        <v>80</v>
      </c>
      <c r="C54" s="1558"/>
      <c r="D54" s="1558"/>
      <c r="E54" s="1559"/>
      <c r="F54" s="147" t="e">
        <f>1/F53</f>
        <v>#DIV/0!</v>
      </c>
      <c r="H54" s="1059"/>
      <c r="I54" s="1059"/>
      <c r="J54" s="1059"/>
      <c r="K54" s="1059"/>
      <c r="L54" s="1059"/>
      <c r="AE54" s="1099"/>
      <c r="AF54" s="1099"/>
      <c r="AG54" s="1099"/>
      <c r="AH54" s="1099"/>
      <c r="AI54" s="1099"/>
      <c r="AJ54" s="1099"/>
      <c r="AK54" s="1099"/>
      <c r="AL54" s="1099"/>
    </row>
    <row r="56" spans="2:44" s="23" customFormat="1">
      <c r="B56" s="25" t="s">
        <v>81</v>
      </c>
      <c r="AD56" s="24"/>
      <c r="AE56" s="24"/>
      <c r="AF56" s="24"/>
      <c r="AG56" s="24"/>
      <c r="AH56" s="24"/>
      <c r="AR56" s="24"/>
    </row>
    <row r="58" spans="2:44" ht="12.6" customHeight="1">
      <c r="B58" s="1077" t="s">
        <v>82</v>
      </c>
      <c r="C58" s="1077"/>
      <c r="D58" s="1077"/>
      <c r="E58" s="1077"/>
      <c r="F58" s="1077"/>
    </row>
    <row r="59" spans="2:44" ht="12.6" customHeight="1">
      <c r="B59" s="1078" t="s">
        <v>83</v>
      </c>
      <c r="C59" s="1078"/>
      <c r="D59" s="1078"/>
      <c r="E59" s="1078"/>
      <c r="F59" s="1078"/>
      <c r="H59" s="1553"/>
      <c r="I59" s="1553"/>
      <c r="J59" s="1553"/>
      <c r="K59" s="1553"/>
      <c r="L59" s="1553"/>
    </row>
    <row r="60" spans="2:44" ht="12.6" customHeight="1">
      <c r="B60" s="1078" t="s">
        <v>84</v>
      </c>
      <c r="C60" s="1078"/>
      <c r="D60" s="1078"/>
      <c r="E60" s="1078"/>
      <c r="F60" s="1078"/>
    </row>
    <row r="61" spans="2:44" ht="12.6" customHeight="1">
      <c r="B61" s="1078" t="s">
        <v>85</v>
      </c>
      <c r="C61" s="1078"/>
      <c r="D61" s="1078"/>
      <c r="E61" s="1078"/>
      <c r="F61" s="1078"/>
    </row>
    <row r="62" spans="2:44" ht="13.5" thickBot="1"/>
    <row r="63" spans="2:44" ht="13.5" thickBot="1">
      <c r="B63" s="82" t="s">
        <v>64</v>
      </c>
      <c r="C63" s="962"/>
      <c r="H63" s="1100" t="s">
        <v>124</v>
      </c>
      <c r="I63" s="1101"/>
    </row>
    <row r="64" spans="2:44" ht="13.5" thickBot="1">
      <c r="B64" s="82" t="s">
        <v>66</v>
      </c>
      <c r="C64" s="963"/>
      <c r="H64" s="896" t="s">
        <v>125</v>
      </c>
      <c r="I64" s="885" t="str">
        <f>IF(C63=$L$6,HLOOKUP(C64,$L$7:$T$8,2,0),IF(C63=$U$6,HLOOKUP(C64,$U$7:$Y$8,2,0),""))</f>
        <v/>
      </c>
    </row>
    <row r="65" spans="2:12" ht="13.5" thickBot="1">
      <c r="H65" s="94" t="s">
        <v>126</v>
      </c>
      <c r="I65" s="895" t="str" cm="1">
        <f t="array" ref="I65">IFERROR(_xlfn.IFS(E101&lt;=I64,"Cumple",E101&gt;I64,"No cumple"),"Completar cálculo")</f>
        <v>Completar cálculo</v>
      </c>
    </row>
    <row r="66" spans="2:12" ht="13.5" thickBot="1"/>
    <row r="67" spans="2:12" ht="13.5" customHeight="1" thickBot="1">
      <c r="B67" s="1068" t="s">
        <v>86</v>
      </c>
      <c r="C67" s="1069"/>
      <c r="D67" s="1069"/>
      <c r="E67" s="1069"/>
      <c r="F67" s="1070"/>
      <c r="H67" s="894"/>
      <c r="I67" s="894"/>
      <c r="J67" s="894"/>
      <c r="K67" s="894"/>
      <c r="L67" s="894"/>
    </row>
    <row r="68" spans="2:12" s="139" customFormat="1" ht="26.25" thickBot="1">
      <c r="B68" s="94" t="s">
        <v>69</v>
      </c>
      <c r="C68" s="151" t="s">
        <v>70</v>
      </c>
      <c r="D68" s="58" t="s">
        <v>71</v>
      </c>
      <c r="E68" s="59" t="s">
        <v>72</v>
      </c>
      <c r="F68" s="57" t="s">
        <v>73</v>
      </c>
      <c r="H68" s="894"/>
      <c r="I68" s="894"/>
      <c r="J68" s="894"/>
      <c r="K68" s="894"/>
      <c r="L68" s="894"/>
    </row>
    <row r="69" spans="2:12" ht="13.5" thickBot="1">
      <c r="B69" s="140" t="s">
        <v>75</v>
      </c>
      <c r="C69" s="141"/>
      <c r="D69" s="141"/>
      <c r="E69" s="142"/>
      <c r="F69" s="1029" t="str">
        <f>IF(C63=$L$6,HLOOKUP(C64,$AC$7:$AK$21,14,0),IF(C63=$U$6,HLOOKUP(C64,$AL$7:$AP$21,14,0),""))</f>
        <v/>
      </c>
      <c r="H69" s="894"/>
      <c r="I69" s="894"/>
      <c r="J69" s="894"/>
      <c r="K69" s="894"/>
      <c r="L69" s="894"/>
    </row>
    <row r="70" spans="2:12">
      <c r="B70" s="86"/>
      <c r="C70" s="508"/>
      <c r="D70" s="509"/>
      <c r="E70" s="510"/>
      <c r="F70" s="143" t="str">
        <f t="shared" ref="F70:F77" si="4">IFERROR(C70/E70,"")</f>
        <v/>
      </c>
      <c r="H70" s="894"/>
      <c r="I70" s="894"/>
      <c r="J70" s="894"/>
      <c r="K70" s="894"/>
      <c r="L70" s="894"/>
    </row>
    <row r="71" spans="2:12">
      <c r="B71" s="84"/>
      <c r="C71" s="511"/>
      <c r="D71" s="512"/>
      <c r="E71" s="513"/>
      <c r="F71" s="144" t="str">
        <f t="shared" si="4"/>
        <v/>
      </c>
      <c r="H71" s="894"/>
      <c r="I71" s="894"/>
      <c r="J71" s="894"/>
      <c r="K71" s="894"/>
      <c r="L71" s="894"/>
    </row>
    <row r="72" spans="2:12">
      <c r="B72" s="84"/>
      <c r="C72" s="511"/>
      <c r="D72" s="512"/>
      <c r="E72" s="513"/>
      <c r="F72" s="144" t="str">
        <f t="shared" si="4"/>
        <v/>
      </c>
      <c r="H72" s="894"/>
      <c r="I72" s="894"/>
      <c r="J72" s="894"/>
      <c r="K72" s="894"/>
      <c r="L72" s="894"/>
    </row>
    <row r="73" spans="2:12">
      <c r="B73" s="84"/>
      <c r="C73" s="511"/>
      <c r="D73" s="512"/>
      <c r="E73" s="513"/>
      <c r="F73" s="144" t="str">
        <f t="shared" si="4"/>
        <v/>
      </c>
      <c r="H73" s="894"/>
      <c r="I73" s="894"/>
      <c r="J73" s="894"/>
      <c r="K73" s="894"/>
      <c r="L73" s="894"/>
    </row>
    <row r="74" spans="2:12">
      <c r="B74" s="84"/>
      <c r="C74" s="511"/>
      <c r="D74" s="512"/>
      <c r="E74" s="513"/>
      <c r="F74" s="144" t="str">
        <f t="shared" si="4"/>
        <v/>
      </c>
      <c r="H74" s="894"/>
      <c r="I74" s="894"/>
      <c r="J74" s="894"/>
      <c r="K74" s="894"/>
      <c r="L74" s="894"/>
    </row>
    <row r="75" spans="2:12">
      <c r="B75" s="84"/>
      <c r="C75" s="511"/>
      <c r="D75" s="512"/>
      <c r="E75" s="513"/>
      <c r="F75" s="144" t="str">
        <f t="shared" si="4"/>
        <v/>
      </c>
      <c r="H75" s="894"/>
      <c r="I75" s="894"/>
      <c r="J75" s="894"/>
      <c r="K75" s="894"/>
      <c r="L75" s="894"/>
    </row>
    <row r="76" spans="2:12">
      <c r="B76" s="84"/>
      <c r="C76" s="511"/>
      <c r="D76" s="512"/>
      <c r="E76" s="513"/>
      <c r="F76" s="144" t="str">
        <f t="shared" si="4"/>
        <v/>
      </c>
    </row>
    <row r="77" spans="2:12" ht="13.5" thickBot="1">
      <c r="B77" s="85"/>
      <c r="C77" s="514"/>
      <c r="D77" s="515"/>
      <c r="E77" s="516"/>
      <c r="F77" s="145" t="str">
        <f t="shared" si="4"/>
        <v/>
      </c>
    </row>
    <row r="78" spans="2:12" ht="13.5" thickBot="1">
      <c r="B78" s="140" t="s">
        <v>78</v>
      </c>
      <c r="C78" s="141"/>
      <c r="D78" s="141"/>
      <c r="E78" s="142"/>
      <c r="F78" s="1029" t="str">
        <f>IF(C63=$L$6,HLOOKUP(C64,$AC$7:$AK$21,15,0),IF(C63=$U$6,HLOOKUP(C64,$AL$7:$AP$21,15,0),""))</f>
        <v/>
      </c>
    </row>
    <row r="79" spans="2:12">
      <c r="B79" s="1554" t="s">
        <v>79</v>
      </c>
      <c r="C79" s="1555"/>
      <c r="D79" s="1555"/>
      <c r="E79" s="1556"/>
      <c r="F79" s="146">
        <f>SUM(F69:F78)</f>
        <v>0</v>
      </c>
    </row>
    <row r="80" spans="2:12" ht="13.5" thickBot="1">
      <c r="B80" s="1560" t="s">
        <v>87</v>
      </c>
      <c r="C80" s="1561"/>
      <c r="D80" s="1561"/>
      <c r="E80" s="1562"/>
      <c r="F80" s="150" t="str">
        <f>IFERROR(1/F79,"Completar")</f>
        <v>Completar</v>
      </c>
    </row>
    <row r="81" spans="2:6" ht="13.5" thickBot="1"/>
    <row r="82" spans="2:6" ht="13.5" thickBot="1">
      <c r="B82" s="1068" t="s">
        <v>88</v>
      </c>
      <c r="C82" s="1069"/>
      <c r="D82" s="1069"/>
      <c r="E82" s="1069"/>
      <c r="F82" s="1070"/>
    </row>
    <row r="83" spans="2:6" s="139" customFormat="1" ht="26.25" thickBot="1">
      <c r="B83" s="94" t="s">
        <v>69</v>
      </c>
      <c r="C83" s="151" t="s">
        <v>70</v>
      </c>
      <c r="D83" s="58" t="s">
        <v>71</v>
      </c>
      <c r="E83" s="59" t="s">
        <v>72</v>
      </c>
      <c r="F83" s="57" t="s">
        <v>73</v>
      </c>
    </row>
    <row r="84" spans="2:6" ht="13.5" thickBot="1">
      <c r="B84" s="140" t="s">
        <v>75</v>
      </c>
      <c r="C84" s="141"/>
      <c r="D84" s="141"/>
      <c r="E84" s="142"/>
      <c r="F84" s="1029" t="str">
        <f>IF(C63=$L$6,HLOOKUP(C64,$AC$7:$AK$21,14,0),IF(C63=$U$6,HLOOKUP(C64,$AL$7:$AP$21,14,0),""))</f>
        <v/>
      </c>
    </row>
    <row r="85" spans="2:6">
      <c r="B85" s="86"/>
      <c r="C85" s="508"/>
      <c r="D85" s="509"/>
      <c r="E85" s="510"/>
      <c r="F85" s="143" t="str">
        <f t="shared" ref="F85:F92" si="5">IFERROR(C85/E85,"")</f>
        <v/>
      </c>
    </row>
    <row r="86" spans="2:6">
      <c r="B86" s="84"/>
      <c r="C86" s="511"/>
      <c r="D86" s="512"/>
      <c r="E86" s="513"/>
      <c r="F86" s="144" t="str">
        <f t="shared" si="5"/>
        <v/>
      </c>
    </row>
    <row r="87" spans="2:6">
      <c r="B87" s="84"/>
      <c r="C87" s="511"/>
      <c r="D87" s="512"/>
      <c r="E87" s="513"/>
      <c r="F87" s="144" t="str">
        <f t="shared" si="5"/>
        <v/>
      </c>
    </row>
    <row r="88" spans="2:6">
      <c r="B88" s="84"/>
      <c r="C88" s="511"/>
      <c r="D88" s="512"/>
      <c r="E88" s="513"/>
      <c r="F88" s="144" t="str">
        <f t="shared" si="5"/>
        <v/>
      </c>
    </row>
    <row r="89" spans="2:6">
      <c r="B89" s="84"/>
      <c r="C89" s="511"/>
      <c r="D89" s="512"/>
      <c r="E89" s="513"/>
      <c r="F89" s="144" t="str">
        <f t="shared" si="5"/>
        <v/>
      </c>
    </row>
    <row r="90" spans="2:6">
      <c r="B90" s="84"/>
      <c r="C90" s="511"/>
      <c r="D90" s="512"/>
      <c r="E90" s="513"/>
      <c r="F90" s="144" t="str">
        <f t="shared" si="5"/>
        <v/>
      </c>
    </row>
    <row r="91" spans="2:6">
      <c r="B91" s="84"/>
      <c r="C91" s="511"/>
      <c r="D91" s="512"/>
      <c r="E91" s="513"/>
      <c r="F91" s="144" t="str">
        <f t="shared" si="5"/>
        <v/>
      </c>
    </row>
    <row r="92" spans="2:6" ht="13.5" thickBot="1">
      <c r="B92" s="85"/>
      <c r="C92" s="514"/>
      <c r="D92" s="515"/>
      <c r="E92" s="516"/>
      <c r="F92" s="145" t="str">
        <f t="shared" si="5"/>
        <v/>
      </c>
    </row>
    <row r="93" spans="2:6" ht="13.5" thickBot="1">
      <c r="B93" s="140" t="s">
        <v>78</v>
      </c>
      <c r="C93" s="141"/>
      <c r="D93" s="141"/>
      <c r="E93" s="142"/>
      <c r="F93" s="1029" t="str">
        <f>IF(C63=$L$6,HLOOKUP(C64,$AC$7:$AK$21,15,0),IF(C63=$U$6,HLOOKUP(C64,$AL$7:$AP$21,15,0),""))</f>
        <v/>
      </c>
    </row>
    <row r="94" spans="2:6">
      <c r="B94" s="1554" t="s">
        <v>79</v>
      </c>
      <c r="C94" s="1555"/>
      <c r="D94" s="1555"/>
      <c r="E94" s="1556"/>
      <c r="F94" s="146">
        <f>SUM(F84:F93)</f>
        <v>0</v>
      </c>
    </row>
    <row r="95" spans="2:6" ht="13.5" thickBot="1">
      <c r="B95" s="1560" t="s">
        <v>89</v>
      </c>
      <c r="C95" s="1561"/>
      <c r="D95" s="1561"/>
      <c r="E95" s="1562"/>
      <c r="F95" s="150" t="str">
        <f>IFERROR(1/F94,"Completar")</f>
        <v>Completar</v>
      </c>
    </row>
    <row r="96" spans="2:6" ht="13.5" thickBot="1"/>
    <row r="97" spans="2:44" ht="13.5" thickBot="1">
      <c r="B97" s="1074" t="s">
        <v>90</v>
      </c>
      <c r="C97" s="1074"/>
      <c r="D97" s="1074"/>
      <c r="E97" s="1074"/>
      <c r="F97" s="1074"/>
    </row>
    <row r="98" spans="2:44" s="139" customFormat="1" ht="26.85" customHeight="1" thickBot="1">
      <c r="B98" s="94" t="s">
        <v>91</v>
      </c>
      <c r="C98" s="1075" t="s">
        <v>92</v>
      </c>
      <c r="D98" s="1075"/>
      <c r="E98" s="1075" t="s">
        <v>93</v>
      </c>
      <c r="F98" s="1075"/>
    </row>
    <row r="99" spans="2:44">
      <c r="B99" s="92" t="s">
        <v>94</v>
      </c>
      <c r="C99" s="1066"/>
      <c r="D99" s="1066"/>
      <c r="E99" s="1067" t="str">
        <f>IFERROR(F80*C99,"Completar Cálculos")</f>
        <v>Completar Cálculos</v>
      </c>
      <c r="F99" s="1067"/>
    </row>
    <row r="100" spans="2:44" ht="13.5" thickBot="1">
      <c r="B100" s="91" t="s">
        <v>95</v>
      </c>
      <c r="C100" s="1060">
        <f>1-C99</f>
        <v>1</v>
      </c>
      <c r="D100" s="1060"/>
      <c r="E100" s="1061" t="e">
        <f>(F95*C100)</f>
        <v>#VALUE!</v>
      </c>
      <c r="F100" s="1061"/>
    </row>
    <row r="101" spans="2:44" ht="13.5" thickBot="1">
      <c r="B101" s="1062" t="s">
        <v>96</v>
      </c>
      <c r="C101" s="1062"/>
      <c r="D101" s="1062"/>
      <c r="E101" s="858" t="e">
        <f>SUM(E99:F100)</f>
        <v>#VALUE!</v>
      </c>
      <c r="F101" s="859"/>
    </row>
    <row r="103" spans="2:44" s="899" customFormat="1" ht="27.6" customHeight="1">
      <c r="B103" s="900" t="s">
        <v>128</v>
      </c>
      <c r="AD103" s="901"/>
      <c r="AE103" s="901"/>
      <c r="AF103" s="901"/>
      <c r="AG103" s="901"/>
      <c r="AH103" s="901"/>
      <c r="AR103" s="901"/>
    </row>
    <row r="104" spans="2:44" ht="13.5" thickBot="1"/>
    <row r="105" spans="2:44" ht="13.5" thickBot="1">
      <c r="B105" s="82" t="s">
        <v>64</v>
      </c>
      <c r="C105" s="962"/>
      <c r="H105" s="1100" t="s">
        <v>124</v>
      </c>
      <c r="I105" s="1101"/>
    </row>
    <row r="106" spans="2:44" ht="13.5" thickBot="1">
      <c r="B106" s="82" t="s">
        <v>66</v>
      </c>
      <c r="C106" s="963"/>
      <c r="H106" s="896" t="s">
        <v>125</v>
      </c>
      <c r="I106" s="885" t="str">
        <f>IF(C105=$L$6,HLOOKUP(C106,$L$7:$T$8,2,0),IF(C105=$U$6,HLOOKUP(C106,$U$7:$Y$8,2,0),""))</f>
        <v/>
      </c>
    </row>
    <row r="107" spans="2:44" ht="13.5" thickBot="1">
      <c r="H107" s="94" t="s">
        <v>126</v>
      </c>
      <c r="I107" s="150" t="str" cm="1">
        <f t="array" ref="I107">IFERROR(_xlfn.IFS(F121&lt;=I106,"Cumple",F121&gt;I106,"No cumple"),"Completar cálculo")</f>
        <v>Completar cálculo</v>
      </c>
    </row>
    <row r="108" spans="2:44" ht="13.5" thickBot="1"/>
    <row r="109" spans="2:44" ht="26.25" thickBot="1">
      <c r="B109" s="94" t="s">
        <v>69</v>
      </c>
      <c r="C109" s="151" t="s">
        <v>70</v>
      </c>
      <c r="D109" s="58" t="s">
        <v>71</v>
      </c>
      <c r="E109" s="59" t="s">
        <v>72</v>
      </c>
      <c r="F109" s="57" t="s">
        <v>73</v>
      </c>
      <c r="G109" s="139"/>
      <c r="H109" s="1102"/>
      <c r="I109" s="1102"/>
      <c r="J109" s="1102"/>
      <c r="K109" s="1102"/>
      <c r="L109" s="1102"/>
    </row>
    <row r="110" spans="2:44" ht="13.5" thickBot="1">
      <c r="B110" s="140" t="s">
        <v>75</v>
      </c>
      <c r="C110" s="141"/>
      <c r="D110" s="141"/>
      <c r="E110" s="142"/>
      <c r="F110" s="1029" t="str">
        <f>IF(C105=$L$6,HLOOKUP(C106,$AC$7:$AK$21,14,0),IF(C105=$U$6,HLOOKUP(C106,$AL$7:$AP$21,14,0),""))</f>
        <v/>
      </c>
      <c r="H110" s="1102"/>
      <c r="I110" s="1102"/>
      <c r="J110" s="1102"/>
      <c r="K110" s="1102"/>
      <c r="L110" s="1102"/>
    </row>
    <row r="111" spans="2:44">
      <c r="B111" s="86"/>
      <c r="C111" s="508"/>
      <c r="D111" s="509"/>
      <c r="E111" s="510"/>
      <c r="F111" s="143" t="str">
        <f t="shared" ref="F111:F118" si="6">IFERROR(C111/E111,"")</f>
        <v/>
      </c>
      <c r="H111" s="1102"/>
      <c r="I111" s="1102"/>
      <c r="J111" s="1102"/>
      <c r="K111" s="1102"/>
      <c r="L111" s="1102"/>
    </row>
    <row r="112" spans="2:44">
      <c r="B112" s="84"/>
      <c r="C112" s="511"/>
      <c r="D112" s="512"/>
      <c r="E112" s="513"/>
      <c r="F112" s="144" t="str">
        <f t="shared" si="6"/>
        <v/>
      </c>
      <c r="H112" s="1102"/>
      <c r="I112" s="1102"/>
      <c r="J112" s="1102"/>
      <c r="K112" s="1102"/>
      <c r="L112" s="1102"/>
    </row>
    <row r="113" spans="2:44">
      <c r="B113" s="84"/>
      <c r="C113" s="511"/>
      <c r="D113" s="512"/>
      <c r="E113" s="513"/>
      <c r="F113" s="144" t="str">
        <f t="shared" si="6"/>
        <v/>
      </c>
      <c r="H113" s="1102"/>
      <c r="I113" s="1102"/>
      <c r="J113" s="1102"/>
      <c r="K113" s="1102"/>
      <c r="L113" s="1102"/>
    </row>
    <row r="114" spans="2:44">
      <c r="B114" s="84"/>
      <c r="C114" s="511"/>
      <c r="D114" s="512"/>
      <c r="E114" s="513"/>
      <c r="F114" s="144" t="str">
        <f t="shared" si="6"/>
        <v/>
      </c>
      <c r="H114" s="1102"/>
      <c r="I114" s="1102"/>
      <c r="J114" s="1102"/>
      <c r="K114" s="1102"/>
      <c r="L114" s="1102"/>
    </row>
    <row r="115" spans="2:44">
      <c r="B115" s="84"/>
      <c r="C115" s="511"/>
      <c r="D115" s="512"/>
      <c r="E115" s="513"/>
      <c r="F115" s="144" t="str">
        <f t="shared" si="6"/>
        <v/>
      </c>
      <c r="H115" s="1102"/>
      <c r="I115" s="1102"/>
      <c r="J115" s="1102"/>
      <c r="K115" s="1102"/>
      <c r="L115" s="1102"/>
    </row>
    <row r="116" spans="2:44">
      <c r="B116" s="84"/>
      <c r="C116" s="511"/>
      <c r="D116" s="512"/>
      <c r="E116" s="513"/>
      <c r="F116" s="144" t="str">
        <f t="shared" si="6"/>
        <v/>
      </c>
      <c r="H116" s="1102"/>
      <c r="I116" s="1102"/>
      <c r="J116" s="1102"/>
      <c r="K116" s="1102"/>
      <c r="L116" s="1102"/>
    </row>
    <row r="117" spans="2:44">
      <c r="B117" s="84"/>
      <c r="C117" s="511"/>
      <c r="D117" s="512"/>
      <c r="E117" s="513"/>
      <c r="F117" s="144" t="str">
        <f t="shared" si="6"/>
        <v/>
      </c>
      <c r="H117" s="1102"/>
      <c r="I117" s="1102"/>
      <c r="J117" s="1102"/>
      <c r="K117" s="1102"/>
      <c r="L117" s="1102"/>
    </row>
    <row r="118" spans="2:44" ht="13.5" thickBot="1">
      <c r="B118" s="85"/>
      <c r="C118" s="514"/>
      <c r="D118" s="515"/>
      <c r="E118" s="516"/>
      <c r="F118" s="145" t="str">
        <f t="shared" si="6"/>
        <v/>
      </c>
      <c r="H118" s="1102"/>
      <c r="I118" s="1102"/>
      <c r="J118" s="1102"/>
      <c r="K118" s="1102"/>
      <c r="L118" s="1102"/>
    </row>
    <row r="119" spans="2:44" ht="13.5" thickBot="1">
      <c r="B119" s="140" t="s">
        <v>78</v>
      </c>
      <c r="C119" s="141"/>
      <c r="D119" s="141"/>
      <c r="E119" s="142"/>
      <c r="F119" s="1029" t="str">
        <f>IF(C105=$L$6,HLOOKUP(C106,$AC$7:$AK$21,15,0),IF(C105=$U$6,HLOOKUP(C106,$AL$7:$AP$21,15,0),""))</f>
        <v/>
      </c>
      <c r="H119" s="1102"/>
      <c r="I119" s="1102"/>
      <c r="J119" s="1102"/>
      <c r="K119" s="1102"/>
      <c r="L119" s="1102"/>
    </row>
    <row r="120" spans="2:44">
      <c r="B120" s="1554" t="s">
        <v>79</v>
      </c>
      <c r="C120" s="1555"/>
      <c r="D120" s="1555"/>
      <c r="E120" s="1556"/>
      <c r="F120" s="146">
        <f>SUM(F110:F119)</f>
        <v>0</v>
      </c>
      <c r="H120" s="1102"/>
      <c r="I120" s="1102"/>
      <c r="J120" s="1102"/>
      <c r="K120" s="1102"/>
      <c r="L120" s="1102"/>
    </row>
    <row r="121" spans="2:44" ht="13.5" thickBot="1">
      <c r="B121" s="1557" t="s">
        <v>80</v>
      </c>
      <c r="C121" s="1558"/>
      <c r="D121" s="1558"/>
      <c r="E121" s="1559"/>
      <c r="F121" s="147" t="e">
        <f>1/F120</f>
        <v>#DIV/0!</v>
      </c>
      <c r="H121" s="1102"/>
      <c r="I121" s="1102"/>
      <c r="J121" s="1102"/>
      <c r="K121" s="1102"/>
      <c r="L121" s="1102"/>
    </row>
    <row r="123" spans="2:44" s="897" customFormat="1" ht="4.1500000000000004" customHeight="1">
      <c r="AD123" s="898"/>
      <c r="AE123" s="898"/>
      <c r="AF123" s="898"/>
      <c r="AG123" s="898"/>
      <c r="AH123" s="898"/>
      <c r="AR123" s="898"/>
    </row>
    <row r="124" spans="2:44" ht="13.5" thickBot="1"/>
    <row r="125" spans="2:44" ht="13.5" thickBot="1">
      <c r="B125" s="82" t="s">
        <v>64</v>
      </c>
      <c r="C125" s="962"/>
      <c r="H125" s="1100" t="s">
        <v>124</v>
      </c>
      <c r="I125" s="1101"/>
    </row>
    <row r="126" spans="2:44" ht="13.5" thickBot="1">
      <c r="B126" s="82" t="s">
        <v>66</v>
      </c>
      <c r="C126" s="963"/>
      <c r="H126" s="896" t="s">
        <v>125</v>
      </c>
      <c r="I126" s="885" t="str">
        <f>IF(C125=$L$6,HLOOKUP(C126,$L$7:$T$8,2,0),IF(C125=$U$6,HLOOKUP(C126,$U$7:$Y$8,2,0),""))</f>
        <v/>
      </c>
    </row>
    <row r="127" spans="2:44" ht="13.5" thickBot="1">
      <c r="H127" s="94" t="s">
        <v>126</v>
      </c>
      <c r="I127" s="150" t="str" cm="1">
        <f t="array" ref="I127">IFERROR(_xlfn.IFS(F141&lt;=I126,"Cumple",F141&gt;I126,"No cumple"),"Completar cálculo")</f>
        <v>Completar cálculo</v>
      </c>
    </row>
    <row r="128" spans="2:44" ht="13.5" thickBot="1"/>
    <row r="129" spans="2:44" ht="26.25" thickBot="1">
      <c r="B129" s="94" t="s">
        <v>69</v>
      </c>
      <c r="C129" s="151" t="s">
        <v>70</v>
      </c>
      <c r="D129" s="58" t="s">
        <v>71</v>
      </c>
      <c r="E129" s="59" t="s">
        <v>72</v>
      </c>
      <c r="F129" s="57" t="s">
        <v>73</v>
      </c>
      <c r="G129" s="139"/>
      <c r="H129" s="1102"/>
      <c r="I129" s="1102"/>
      <c r="J129" s="1102"/>
      <c r="K129" s="1102"/>
      <c r="L129" s="1102"/>
    </row>
    <row r="130" spans="2:44" ht="13.5" thickBot="1">
      <c r="B130" s="140" t="s">
        <v>75</v>
      </c>
      <c r="C130" s="141"/>
      <c r="D130" s="141"/>
      <c r="E130" s="142"/>
      <c r="F130" s="1029" t="str">
        <f>IF(C125=$L$6,HLOOKUP(C126,$AC$7:$AK$21,14,0),IF(C125=$U$6,HLOOKUP(C126,$AL$7:$AP$21,14,0),""))</f>
        <v/>
      </c>
      <c r="H130" s="1102"/>
      <c r="I130" s="1102"/>
      <c r="J130" s="1102"/>
      <c r="K130" s="1102"/>
      <c r="L130" s="1102"/>
    </row>
    <row r="131" spans="2:44">
      <c r="B131" s="86"/>
      <c r="C131" s="508"/>
      <c r="D131" s="509"/>
      <c r="E131" s="510"/>
      <c r="F131" s="143" t="str">
        <f t="shared" ref="F131:F138" si="7">IFERROR(C131/E131,"")</f>
        <v/>
      </c>
      <c r="H131" s="1102"/>
      <c r="I131" s="1102"/>
      <c r="J131" s="1102"/>
      <c r="K131" s="1102"/>
      <c r="L131" s="1102"/>
    </row>
    <row r="132" spans="2:44">
      <c r="B132" s="84"/>
      <c r="C132" s="511"/>
      <c r="D132" s="512"/>
      <c r="E132" s="513"/>
      <c r="F132" s="144" t="str">
        <f t="shared" si="7"/>
        <v/>
      </c>
      <c r="H132" s="1102"/>
      <c r="I132" s="1102"/>
      <c r="J132" s="1102"/>
      <c r="K132" s="1102"/>
      <c r="L132" s="1102"/>
    </row>
    <row r="133" spans="2:44">
      <c r="B133" s="84"/>
      <c r="C133" s="511"/>
      <c r="D133" s="512"/>
      <c r="E133" s="513"/>
      <c r="F133" s="144" t="str">
        <f t="shared" si="7"/>
        <v/>
      </c>
      <c r="H133" s="1102"/>
      <c r="I133" s="1102"/>
      <c r="J133" s="1102"/>
      <c r="K133" s="1102"/>
      <c r="L133" s="1102"/>
    </row>
    <row r="134" spans="2:44">
      <c r="B134" s="84"/>
      <c r="C134" s="511"/>
      <c r="D134" s="512"/>
      <c r="E134" s="513"/>
      <c r="F134" s="144" t="str">
        <f t="shared" si="7"/>
        <v/>
      </c>
      <c r="H134" s="1102"/>
      <c r="I134" s="1102"/>
      <c r="J134" s="1102"/>
      <c r="K134" s="1102"/>
      <c r="L134" s="1102"/>
    </row>
    <row r="135" spans="2:44">
      <c r="B135" s="84"/>
      <c r="C135" s="511"/>
      <c r="D135" s="512"/>
      <c r="E135" s="513"/>
      <c r="F135" s="144" t="str">
        <f t="shared" si="7"/>
        <v/>
      </c>
      <c r="H135" s="1102"/>
      <c r="I135" s="1102"/>
      <c r="J135" s="1102"/>
      <c r="K135" s="1102"/>
      <c r="L135" s="1102"/>
    </row>
    <row r="136" spans="2:44">
      <c r="B136" s="84"/>
      <c r="C136" s="511"/>
      <c r="D136" s="512"/>
      <c r="E136" s="513"/>
      <c r="F136" s="144" t="str">
        <f t="shared" si="7"/>
        <v/>
      </c>
      <c r="H136" s="1102"/>
      <c r="I136" s="1102"/>
      <c r="J136" s="1102"/>
      <c r="K136" s="1102"/>
      <c r="L136" s="1102"/>
    </row>
    <row r="137" spans="2:44">
      <c r="B137" s="84"/>
      <c r="C137" s="511"/>
      <c r="D137" s="512"/>
      <c r="E137" s="513"/>
      <c r="F137" s="144" t="str">
        <f t="shared" si="7"/>
        <v/>
      </c>
      <c r="H137" s="1102"/>
      <c r="I137" s="1102"/>
      <c r="J137" s="1102"/>
      <c r="K137" s="1102"/>
      <c r="L137" s="1102"/>
    </row>
    <row r="138" spans="2:44" ht="13.5" thickBot="1">
      <c r="B138" s="85"/>
      <c r="C138" s="514"/>
      <c r="D138" s="515"/>
      <c r="E138" s="516"/>
      <c r="F138" s="145" t="str">
        <f t="shared" si="7"/>
        <v/>
      </c>
      <c r="H138" s="1102"/>
      <c r="I138" s="1102"/>
      <c r="J138" s="1102"/>
      <c r="K138" s="1102"/>
      <c r="L138" s="1102"/>
    </row>
    <row r="139" spans="2:44" ht="13.5" thickBot="1">
      <c r="B139" s="140" t="s">
        <v>78</v>
      </c>
      <c r="C139" s="141"/>
      <c r="D139" s="141"/>
      <c r="E139" s="142"/>
      <c r="F139" s="1029" t="str">
        <f>IF(C125=$L$6,HLOOKUP(C126,$AC$7:$AK$21,15,0),IF(C125=$U$6,HLOOKUP(C126,$AL$7:$AP$21,15,0),""))</f>
        <v/>
      </c>
      <c r="H139" s="1102"/>
      <c r="I139" s="1102"/>
      <c r="J139" s="1102"/>
      <c r="K139" s="1102"/>
      <c r="L139" s="1102"/>
    </row>
    <row r="140" spans="2:44">
      <c r="B140" s="1554" t="s">
        <v>79</v>
      </c>
      <c r="C140" s="1555"/>
      <c r="D140" s="1555"/>
      <c r="E140" s="1556"/>
      <c r="F140" s="146">
        <f>SUM(F130:F139)</f>
        <v>0</v>
      </c>
      <c r="H140" s="1102"/>
      <c r="I140" s="1102"/>
      <c r="J140" s="1102"/>
      <c r="K140" s="1102"/>
      <c r="L140" s="1102"/>
    </row>
    <row r="141" spans="2:44" ht="13.5" thickBot="1">
      <c r="B141" s="1557" t="s">
        <v>80</v>
      </c>
      <c r="C141" s="1558"/>
      <c r="D141" s="1558"/>
      <c r="E141" s="1559"/>
      <c r="F141" s="147" t="e">
        <f>1/F140</f>
        <v>#DIV/0!</v>
      </c>
      <c r="H141" s="1102"/>
      <c r="I141" s="1102"/>
      <c r="J141" s="1102"/>
      <c r="K141" s="1102"/>
      <c r="L141" s="1102"/>
    </row>
    <row r="143" spans="2:44" s="897" customFormat="1" ht="4.1500000000000004" customHeight="1">
      <c r="AD143" s="898"/>
      <c r="AE143" s="898"/>
      <c r="AF143" s="898"/>
      <c r="AG143" s="898"/>
      <c r="AH143" s="898"/>
      <c r="AR143" s="898"/>
    </row>
    <row r="144" spans="2:44" ht="13.5" thickBot="1"/>
    <row r="145" spans="2:9" ht="13.5" thickBot="1">
      <c r="B145" s="82" t="s">
        <v>64</v>
      </c>
      <c r="C145" s="962"/>
      <c r="H145" s="1100" t="s">
        <v>124</v>
      </c>
      <c r="I145" s="1101"/>
    </row>
    <row r="146" spans="2:9" ht="13.5" thickBot="1">
      <c r="B146" s="82" t="s">
        <v>66</v>
      </c>
      <c r="C146" s="963"/>
      <c r="H146" s="896" t="s">
        <v>65</v>
      </c>
      <c r="I146" s="885" t="str">
        <f>IF(C145=$L$6,HLOOKUP(C146,$L$7:$T$8,2,0),IF(C145=$U$6,HLOOKUP(C146,$U$7:$Y$8,2,0),""))</f>
        <v/>
      </c>
    </row>
    <row r="147" spans="2:9" ht="13.5" thickBot="1">
      <c r="H147" s="94" t="s">
        <v>67</v>
      </c>
      <c r="I147" s="895" t="str" cm="1">
        <f t="array" ref="I147">IFERROR(_xlfn.IFS(E183&lt;=I146,"Cumple",E183&gt;I146,"No cumple"),"Completar cálculo")</f>
        <v>Completar cálculo</v>
      </c>
    </row>
    <row r="148" spans="2:9" ht="13.5" thickBot="1"/>
    <row r="149" spans="2:9" ht="13.5" thickBot="1">
      <c r="B149" s="1068" t="s">
        <v>86</v>
      </c>
      <c r="C149" s="1069"/>
      <c r="D149" s="1069"/>
      <c r="E149" s="1069"/>
      <c r="F149" s="1070"/>
    </row>
    <row r="150" spans="2:9" ht="26.25" thickBot="1">
      <c r="B150" s="94" t="s">
        <v>69</v>
      </c>
      <c r="C150" s="151" t="s">
        <v>70</v>
      </c>
      <c r="D150" s="58" t="s">
        <v>71</v>
      </c>
      <c r="E150" s="59" t="s">
        <v>72</v>
      </c>
      <c r="F150" s="57" t="s">
        <v>73</v>
      </c>
    </row>
    <row r="151" spans="2:9" ht="13.5" thickBot="1">
      <c r="B151" s="140" t="s">
        <v>75</v>
      </c>
      <c r="C151" s="141"/>
      <c r="D151" s="141"/>
      <c r="E151" s="142"/>
      <c r="F151" s="1029" t="str">
        <f>IF(C145=$L$6,HLOOKUP(C146,$AC$7:$AK$21,14,0),IF(C145=$U$6,HLOOKUP(C146,$AL$7:$AP$21,14,0),""))</f>
        <v/>
      </c>
    </row>
    <row r="152" spans="2:9">
      <c r="B152" s="86"/>
      <c r="C152" s="508"/>
      <c r="D152" s="509"/>
      <c r="E152" s="510"/>
      <c r="F152" s="143" t="str">
        <f t="shared" ref="F152:F159" si="8">IFERROR(C152/E152,"")</f>
        <v/>
      </c>
    </row>
    <row r="153" spans="2:9">
      <c r="B153" s="84"/>
      <c r="C153" s="511"/>
      <c r="D153" s="512"/>
      <c r="E153" s="513"/>
      <c r="F153" s="144" t="str">
        <f t="shared" si="8"/>
        <v/>
      </c>
    </row>
    <row r="154" spans="2:9">
      <c r="B154" s="84"/>
      <c r="C154" s="511"/>
      <c r="D154" s="512"/>
      <c r="E154" s="513"/>
      <c r="F154" s="144" t="str">
        <f t="shared" si="8"/>
        <v/>
      </c>
    </row>
    <row r="155" spans="2:9">
      <c r="B155" s="84"/>
      <c r="C155" s="511"/>
      <c r="D155" s="512"/>
      <c r="E155" s="513"/>
      <c r="F155" s="144" t="str">
        <f t="shared" si="8"/>
        <v/>
      </c>
    </row>
    <row r="156" spans="2:9">
      <c r="B156" s="84"/>
      <c r="C156" s="511"/>
      <c r="D156" s="512"/>
      <c r="E156" s="513"/>
      <c r="F156" s="144" t="str">
        <f t="shared" si="8"/>
        <v/>
      </c>
    </row>
    <row r="157" spans="2:9">
      <c r="B157" s="84"/>
      <c r="C157" s="511"/>
      <c r="D157" s="512"/>
      <c r="E157" s="513"/>
      <c r="F157" s="144" t="str">
        <f t="shared" si="8"/>
        <v/>
      </c>
    </row>
    <row r="158" spans="2:9">
      <c r="B158" s="84"/>
      <c r="C158" s="511"/>
      <c r="D158" s="512"/>
      <c r="E158" s="513"/>
      <c r="F158" s="144" t="str">
        <f t="shared" si="8"/>
        <v/>
      </c>
    </row>
    <row r="159" spans="2:9" ht="13.5" thickBot="1">
      <c r="B159" s="85"/>
      <c r="C159" s="514"/>
      <c r="D159" s="515"/>
      <c r="E159" s="516"/>
      <c r="F159" s="145" t="str">
        <f t="shared" si="8"/>
        <v/>
      </c>
    </row>
    <row r="160" spans="2:9" ht="13.5" thickBot="1">
      <c r="B160" s="140" t="s">
        <v>78</v>
      </c>
      <c r="C160" s="141"/>
      <c r="D160" s="141"/>
      <c r="E160" s="142"/>
      <c r="F160" s="1029" t="str">
        <f>IF(C145=$L$6,HLOOKUP(C146,$AC$7:$AK$21,15,0),IF(C145=$U$6,HLOOKUP(C146,$AL$7:$AP$21,15,0),""))</f>
        <v/>
      </c>
    </row>
    <row r="161" spans="2:6">
      <c r="B161" s="1554" t="s">
        <v>79</v>
      </c>
      <c r="C161" s="1555"/>
      <c r="D161" s="1555"/>
      <c r="E161" s="1556"/>
      <c r="F161" s="146">
        <f>SUM(F151:F160)</f>
        <v>0</v>
      </c>
    </row>
    <row r="162" spans="2:6" ht="13.5" thickBot="1">
      <c r="B162" s="1560" t="s">
        <v>87</v>
      </c>
      <c r="C162" s="1561"/>
      <c r="D162" s="1561"/>
      <c r="E162" s="1562"/>
      <c r="F162" s="150" t="e">
        <f>1/F161</f>
        <v>#DIV/0!</v>
      </c>
    </row>
    <row r="163" spans="2:6" ht="13.5" thickBot="1"/>
    <row r="164" spans="2:6" ht="13.5" thickBot="1">
      <c r="B164" s="1068" t="s">
        <v>88</v>
      </c>
      <c r="C164" s="1069"/>
      <c r="D164" s="1069"/>
      <c r="E164" s="1069"/>
      <c r="F164" s="1070"/>
    </row>
    <row r="165" spans="2:6" ht="26.25" thickBot="1">
      <c r="B165" s="94" t="s">
        <v>69</v>
      </c>
      <c r="C165" s="151" t="s">
        <v>70</v>
      </c>
      <c r="D165" s="58" t="s">
        <v>71</v>
      </c>
      <c r="E165" s="59" t="s">
        <v>72</v>
      </c>
      <c r="F165" s="57" t="s">
        <v>73</v>
      </c>
    </row>
    <row r="166" spans="2:6" ht="13.5" thickBot="1">
      <c r="B166" s="140" t="s">
        <v>75</v>
      </c>
      <c r="C166" s="141"/>
      <c r="D166" s="141"/>
      <c r="E166" s="142"/>
      <c r="F166" s="1029" t="str">
        <f>IF(C145=$L$6,HLOOKUP(C146,$AC$7:$AK$21,14,0),IF(C145=$U$6,HLOOKUP(C146,$AL$7:$AP$21,14,0),""))</f>
        <v/>
      </c>
    </row>
    <row r="167" spans="2:6">
      <c r="B167" s="86"/>
      <c r="C167" s="508"/>
      <c r="D167" s="509"/>
      <c r="E167" s="510"/>
      <c r="F167" s="1029" t="str">
        <f t="shared" ref="F167:F174" si="9">IFERROR(C167/E167,"")</f>
        <v/>
      </c>
    </row>
    <row r="168" spans="2:6">
      <c r="B168" s="84"/>
      <c r="C168" s="511"/>
      <c r="D168" s="512"/>
      <c r="E168" s="513"/>
      <c r="F168" s="144" t="str">
        <f t="shared" si="9"/>
        <v/>
      </c>
    </row>
    <row r="169" spans="2:6">
      <c r="B169" s="84"/>
      <c r="C169" s="511"/>
      <c r="D169" s="512"/>
      <c r="E169" s="513"/>
      <c r="F169" s="144" t="str">
        <f t="shared" si="9"/>
        <v/>
      </c>
    </row>
    <row r="170" spans="2:6">
      <c r="B170" s="84"/>
      <c r="C170" s="511"/>
      <c r="D170" s="512"/>
      <c r="E170" s="513"/>
      <c r="F170" s="144" t="str">
        <f t="shared" si="9"/>
        <v/>
      </c>
    </row>
    <row r="171" spans="2:6">
      <c r="B171" s="84"/>
      <c r="C171" s="511"/>
      <c r="D171" s="512"/>
      <c r="E171" s="513"/>
      <c r="F171" s="144" t="str">
        <f t="shared" si="9"/>
        <v/>
      </c>
    </row>
    <row r="172" spans="2:6">
      <c r="B172" s="84"/>
      <c r="C172" s="511"/>
      <c r="D172" s="512"/>
      <c r="E172" s="513"/>
      <c r="F172" s="144" t="str">
        <f t="shared" si="9"/>
        <v/>
      </c>
    </row>
    <row r="173" spans="2:6">
      <c r="B173" s="84"/>
      <c r="C173" s="511"/>
      <c r="D173" s="512"/>
      <c r="E173" s="513"/>
      <c r="F173" s="144" t="str">
        <f t="shared" si="9"/>
        <v/>
      </c>
    </row>
    <row r="174" spans="2:6" ht="13.5" thickBot="1">
      <c r="B174" s="85"/>
      <c r="C174" s="514"/>
      <c r="D174" s="515"/>
      <c r="E174" s="516"/>
      <c r="F174" s="144" t="str">
        <f t="shared" si="9"/>
        <v/>
      </c>
    </row>
    <row r="175" spans="2:6" ht="13.5" thickBot="1">
      <c r="B175" s="140" t="s">
        <v>78</v>
      </c>
      <c r="C175" s="141"/>
      <c r="D175" s="141"/>
      <c r="E175" s="142"/>
      <c r="F175" s="1029" t="str">
        <f>IF(C145=$L$6,HLOOKUP(C146,$AC$7:$AK$21,15,0),IF(C145=$U$6,HLOOKUP(C146,$AL$7:$AP$21,15,0),""))</f>
        <v/>
      </c>
    </row>
    <row r="176" spans="2:6">
      <c r="B176" s="1554" t="s">
        <v>79</v>
      </c>
      <c r="C176" s="1555"/>
      <c r="D176" s="1555"/>
      <c r="E176" s="1556"/>
      <c r="F176" s="146">
        <f>SUM(F166:F175)</f>
        <v>0</v>
      </c>
    </row>
    <row r="177" spans="2:44" ht="13.5" thickBot="1">
      <c r="B177" s="1560" t="s">
        <v>89</v>
      </c>
      <c r="C177" s="1561"/>
      <c r="D177" s="1561"/>
      <c r="E177" s="1562"/>
      <c r="F177" s="150" t="e">
        <f>1/F176</f>
        <v>#DIV/0!</v>
      </c>
    </row>
    <row r="178" spans="2:44" ht="13.5" thickBot="1"/>
    <row r="179" spans="2:44" ht="13.5" thickBot="1">
      <c r="B179" s="1074" t="s">
        <v>90</v>
      </c>
      <c r="C179" s="1074"/>
      <c r="D179" s="1074"/>
      <c r="E179" s="1074"/>
      <c r="F179" s="1074"/>
    </row>
    <row r="180" spans="2:44" ht="13.5" thickBot="1">
      <c r="B180" s="94" t="s">
        <v>91</v>
      </c>
      <c r="C180" s="1075" t="s">
        <v>92</v>
      </c>
      <c r="D180" s="1075"/>
      <c r="E180" s="1075" t="s">
        <v>93</v>
      </c>
      <c r="F180" s="1075"/>
    </row>
    <row r="181" spans="2:44">
      <c r="B181" s="92" t="s">
        <v>94</v>
      </c>
      <c r="C181" s="1066"/>
      <c r="D181" s="1066"/>
      <c r="E181" s="1067" t="e">
        <f>F162*C181</f>
        <v>#DIV/0!</v>
      </c>
      <c r="F181" s="1067"/>
    </row>
    <row r="182" spans="2:44" ht="13.5" thickBot="1">
      <c r="B182" s="91" t="s">
        <v>95</v>
      </c>
      <c r="C182" s="1060">
        <f>1-C181</f>
        <v>1</v>
      </c>
      <c r="D182" s="1060"/>
      <c r="E182" s="1061" t="e">
        <f>F177*C182</f>
        <v>#DIV/0!</v>
      </c>
      <c r="F182" s="1061"/>
    </row>
    <row r="183" spans="2:44" ht="13.5" thickBot="1">
      <c r="B183" s="1062" t="s">
        <v>96</v>
      </c>
      <c r="C183" s="1062"/>
      <c r="D183" s="1062"/>
      <c r="E183" s="1063" t="e">
        <f>SUM(E181:F182)</f>
        <v>#DIV/0!</v>
      </c>
      <c r="F183" s="1064"/>
    </row>
    <row r="185" spans="2:44" s="897" customFormat="1" ht="4.1500000000000004" customHeight="1">
      <c r="AD185" s="898"/>
      <c r="AE185" s="898"/>
      <c r="AF185" s="898"/>
      <c r="AG185" s="898"/>
      <c r="AH185" s="898"/>
      <c r="AR185" s="898"/>
    </row>
    <row r="186" spans="2:44" ht="14.65" customHeight="1" thickBot="1"/>
    <row r="187" spans="2:44" ht="14.65" customHeight="1" thickBot="1">
      <c r="B187" s="82" t="s">
        <v>64</v>
      </c>
      <c r="C187" s="962"/>
      <c r="H187" s="1100" t="s">
        <v>124</v>
      </c>
      <c r="I187" s="1101"/>
    </row>
    <row r="188" spans="2:44" ht="14.65" customHeight="1" thickBot="1">
      <c r="B188" s="82" t="s">
        <v>66</v>
      </c>
      <c r="C188" s="963"/>
      <c r="H188" s="896" t="s">
        <v>65</v>
      </c>
      <c r="I188" s="885" t="str">
        <f>IF(C187=$L$6,HLOOKUP(C188,$L$7:$T$8,2,0),IF(C187=$U$6,HLOOKUP(C188,$U$7:$Y$8,2,0),""))</f>
        <v/>
      </c>
    </row>
    <row r="189" spans="2:44" ht="14.65" customHeight="1" thickBot="1">
      <c r="H189" s="94" t="s">
        <v>67</v>
      </c>
      <c r="I189" s="895" t="str" cm="1">
        <f t="array" ref="I189">IFERROR(_xlfn.IFS(E225&lt;=I188,"Cumple",E225&gt;I188,"No cumple"),"Completar cálculo")</f>
        <v>Completar cálculo</v>
      </c>
    </row>
    <row r="190" spans="2:44" ht="14.65" customHeight="1" thickBot="1"/>
    <row r="191" spans="2:44" ht="13.5" thickBot="1">
      <c r="B191" s="1068" t="s">
        <v>86</v>
      </c>
      <c r="C191" s="1069"/>
      <c r="D191" s="1069"/>
      <c r="E191" s="1069"/>
      <c r="F191" s="1070"/>
    </row>
    <row r="192" spans="2:44" ht="26.25" thickBot="1">
      <c r="B192" s="94" t="s">
        <v>69</v>
      </c>
      <c r="C192" s="151" t="s">
        <v>70</v>
      </c>
      <c r="D192" s="58" t="s">
        <v>71</v>
      </c>
      <c r="E192" s="59" t="s">
        <v>72</v>
      </c>
      <c r="F192" s="57" t="s">
        <v>73</v>
      </c>
    </row>
    <row r="193" spans="2:6" ht="13.5" thickBot="1">
      <c r="B193" s="140" t="s">
        <v>75</v>
      </c>
      <c r="C193" s="141"/>
      <c r="D193" s="141"/>
      <c r="E193" s="142"/>
      <c r="F193" s="1029" t="str">
        <f>IF(C187=$L$6,HLOOKUP(C188,$AC$7:$AK$21,14,0),IF(C187=$U$6,HLOOKUP(C188,$AL$7:$AP$21,14,0),""))</f>
        <v/>
      </c>
    </row>
    <row r="194" spans="2:6">
      <c r="B194" s="86"/>
      <c r="C194" s="508"/>
      <c r="D194" s="509"/>
      <c r="E194" s="510"/>
      <c r="F194" s="143" t="str">
        <f t="shared" ref="F194:F201" si="10">IFERROR(C194/E194,"")</f>
        <v/>
      </c>
    </row>
    <row r="195" spans="2:6">
      <c r="B195" s="84"/>
      <c r="C195" s="511"/>
      <c r="D195" s="512"/>
      <c r="E195" s="513"/>
      <c r="F195" s="144" t="str">
        <f t="shared" si="10"/>
        <v/>
      </c>
    </row>
    <row r="196" spans="2:6">
      <c r="B196" s="84"/>
      <c r="C196" s="511"/>
      <c r="D196" s="512"/>
      <c r="E196" s="513"/>
      <c r="F196" s="144" t="str">
        <f t="shared" si="10"/>
        <v/>
      </c>
    </row>
    <row r="197" spans="2:6">
      <c r="B197" s="84"/>
      <c r="C197" s="511"/>
      <c r="D197" s="512"/>
      <c r="E197" s="513"/>
      <c r="F197" s="144" t="str">
        <f t="shared" si="10"/>
        <v/>
      </c>
    </row>
    <row r="198" spans="2:6">
      <c r="B198" s="84"/>
      <c r="C198" s="511"/>
      <c r="D198" s="512"/>
      <c r="E198" s="513"/>
      <c r="F198" s="144" t="str">
        <f t="shared" si="10"/>
        <v/>
      </c>
    </row>
    <row r="199" spans="2:6">
      <c r="B199" s="84"/>
      <c r="C199" s="511"/>
      <c r="D199" s="512"/>
      <c r="E199" s="513"/>
      <c r="F199" s="144" t="str">
        <f t="shared" si="10"/>
        <v/>
      </c>
    </row>
    <row r="200" spans="2:6">
      <c r="B200" s="84"/>
      <c r="C200" s="511"/>
      <c r="D200" s="512"/>
      <c r="E200" s="513"/>
      <c r="F200" s="144" t="str">
        <f t="shared" si="10"/>
        <v/>
      </c>
    </row>
    <row r="201" spans="2:6" ht="13.5" thickBot="1">
      <c r="B201" s="85"/>
      <c r="C201" s="514"/>
      <c r="D201" s="515"/>
      <c r="E201" s="516"/>
      <c r="F201" s="144" t="str">
        <f t="shared" si="10"/>
        <v/>
      </c>
    </row>
    <row r="202" spans="2:6" ht="13.5" thickBot="1">
      <c r="B202" s="140" t="s">
        <v>78</v>
      </c>
      <c r="C202" s="141"/>
      <c r="D202" s="141"/>
      <c r="E202" s="142"/>
      <c r="F202" s="1029" t="str">
        <f>IF(C187=$L$6,HLOOKUP(C188,$AC$7:$AK$21,15,0),IF(C187=$U$6,HLOOKUP(C188,$AL$7:$AP$21,15,0),""))</f>
        <v/>
      </c>
    </row>
    <row r="203" spans="2:6">
      <c r="B203" s="1554" t="s">
        <v>79</v>
      </c>
      <c r="C203" s="1555"/>
      <c r="D203" s="1555"/>
      <c r="E203" s="1556"/>
      <c r="F203" s="146">
        <f>SUM(F193:F202)</f>
        <v>0</v>
      </c>
    </row>
    <row r="204" spans="2:6" ht="13.5" thickBot="1">
      <c r="B204" s="1560" t="s">
        <v>87</v>
      </c>
      <c r="C204" s="1561"/>
      <c r="D204" s="1561"/>
      <c r="E204" s="1562"/>
      <c r="F204" s="150" t="e">
        <f>1/F203</f>
        <v>#DIV/0!</v>
      </c>
    </row>
    <row r="205" spans="2:6" ht="13.5" thickBot="1"/>
    <row r="206" spans="2:6" ht="13.5" thickBot="1">
      <c r="B206" s="1068" t="s">
        <v>88</v>
      </c>
      <c r="C206" s="1069"/>
      <c r="D206" s="1069"/>
      <c r="E206" s="1069"/>
      <c r="F206" s="1070"/>
    </row>
    <row r="207" spans="2:6" ht="26.25" thickBot="1">
      <c r="B207" s="94" t="s">
        <v>69</v>
      </c>
      <c r="C207" s="151" t="s">
        <v>70</v>
      </c>
      <c r="D207" s="58" t="s">
        <v>71</v>
      </c>
      <c r="E207" s="59" t="s">
        <v>72</v>
      </c>
      <c r="F207" s="57" t="s">
        <v>73</v>
      </c>
    </row>
    <row r="208" spans="2:6" ht="13.5" thickBot="1">
      <c r="B208" s="140" t="s">
        <v>75</v>
      </c>
      <c r="C208" s="141"/>
      <c r="D208" s="141"/>
      <c r="E208" s="142"/>
      <c r="F208" s="1029" t="str">
        <f>IF(C187=$L$6,HLOOKUP(C188,$AC$7:$AK$21,14,0),IF(C187=$U$6,HLOOKUP(C188,$AL$7:$AP$21,14,0),""))</f>
        <v/>
      </c>
    </row>
    <row r="209" spans="2:6">
      <c r="B209" s="86"/>
      <c r="C209" s="508"/>
      <c r="D209" s="509"/>
      <c r="E209" s="510"/>
      <c r="F209" s="143" t="str">
        <f t="shared" ref="F209:F216" si="11">IFERROR(C209/E209,"")</f>
        <v/>
      </c>
    </row>
    <row r="210" spans="2:6">
      <c r="B210" s="84"/>
      <c r="C210" s="511"/>
      <c r="D210" s="512"/>
      <c r="E210" s="513"/>
      <c r="F210" s="144" t="str">
        <f t="shared" si="11"/>
        <v/>
      </c>
    </row>
    <row r="211" spans="2:6">
      <c r="B211" s="84"/>
      <c r="C211" s="511"/>
      <c r="D211" s="512"/>
      <c r="E211" s="513"/>
      <c r="F211" s="144" t="str">
        <f t="shared" si="11"/>
        <v/>
      </c>
    </row>
    <row r="212" spans="2:6">
      <c r="B212" s="84"/>
      <c r="C212" s="511"/>
      <c r="D212" s="512"/>
      <c r="E212" s="513"/>
      <c r="F212" s="144" t="str">
        <f t="shared" si="11"/>
        <v/>
      </c>
    </row>
    <row r="213" spans="2:6">
      <c r="B213" s="84"/>
      <c r="C213" s="511"/>
      <c r="D213" s="512"/>
      <c r="E213" s="513"/>
      <c r="F213" s="144" t="str">
        <f t="shared" si="11"/>
        <v/>
      </c>
    </row>
    <row r="214" spans="2:6">
      <c r="B214" s="84"/>
      <c r="C214" s="511"/>
      <c r="D214" s="512"/>
      <c r="E214" s="513"/>
      <c r="F214" s="144" t="str">
        <f t="shared" si="11"/>
        <v/>
      </c>
    </row>
    <row r="215" spans="2:6">
      <c r="B215" s="84"/>
      <c r="C215" s="511"/>
      <c r="D215" s="512"/>
      <c r="E215" s="513"/>
      <c r="F215" s="144" t="str">
        <f t="shared" si="11"/>
        <v/>
      </c>
    </row>
    <row r="216" spans="2:6" ht="13.5" thickBot="1">
      <c r="B216" s="85"/>
      <c r="C216" s="514"/>
      <c r="D216" s="515"/>
      <c r="E216" s="516"/>
      <c r="F216" s="144" t="str">
        <f t="shared" si="11"/>
        <v/>
      </c>
    </row>
    <row r="217" spans="2:6" ht="13.5" thickBot="1">
      <c r="B217" s="140" t="s">
        <v>78</v>
      </c>
      <c r="C217" s="141"/>
      <c r="D217" s="141"/>
      <c r="E217" s="142"/>
      <c r="F217" s="1029" t="str">
        <f>IF(C187=$L$6,HLOOKUP(C188,$AC$7:$AK$21,15,0),IF(C187=$U$6,HLOOKUP(C188,$AL$7:$AP$21,15,0),""))</f>
        <v/>
      </c>
    </row>
    <row r="218" spans="2:6">
      <c r="B218" s="1554" t="s">
        <v>79</v>
      </c>
      <c r="C218" s="1555"/>
      <c r="D218" s="1555"/>
      <c r="E218" s="1556"/>
      <c r="F218" s="146">
        <f>SUM(F208:F217)</f>
        <v>0</v>
      </c>
    </row>
    <row r="219" spans="2:6" ht="13.5" thickBot="1">
      <c r="B219" s="1560" t="s">
        <v>89</v>
      </c>
      <c r="C219" s="1561"/>
      <c r="D219" s="1561"/>
      <c r="E219" s="1562"/>
      <c r="F219" s="150" t="e">
        <f>1/F218</f>
        <v>#DIV/0!</v>
      </c>
    </row>
    <row r="220" spans="2:6" ht="13.5" thickBot="1"/>
    <row r="221" spans="2:6" ht="13.5" thickBot="1">
      <c r="B221" s="1074" t="s">
        <v>90</v>
      </c>
      <c r="C221" s="1074"/>
      <c r="D221" s="1074"/>
      <c r="E221" s="1074"/>
      <c r="F221" s="1074"/>
    </row>
    <row r="222" spans="2:6" ht="13.5" thickBot="1">
      <c r="B222" s="94" t="s">
        <v>91</v>
      </c>
      <c r="C222" s="1075" t="s">
        <v>92</v>
      </c>
      <c r="D222" s="1075"/>
      <c r="E222" s="1075" t="s">
        <v>93</v>
      </c>
      <c r="F222" s="1075"/>
    </row>
    <row r="223" spans="2:6">
      <c r="B223" s="92" t="s">
        <v>94</v>
      </c>
      <c r="C223" s="1066"/>
      <c r="D223" s="1066"/>
      <c r="E223" s="1067" t="e">
        <f>F204*C223</f>
        <v>#DIV/0!</v>
      </c>
      <c r="F223" s="1067"/>
    </row>
    <row r="224" spans="2:6" ht="13.5" thickBot="1">
      <c r="B224" s="91" t="s">
        <v>95</v>
      </c>
      <c r="C224" s="1060">
        <f>1-C223</f>
        <v>1</v>
      </c>
      <c r="D224" s="1060"/>
      <c r="E224" s="1061" t="e">
        <f>F219*C224</f>
        <v>#DIV/0!</v>
      </c>
      <c r="F224" s="1061"/>
    </row>
    <row r="225" spans="2:44" ht="13.5" thickBot="1">
      <c r="B225" s="1062" t="s">
        <v>96</v>
      </c>
      <c r="C225" s="1062"/>
      <c r="D225" s="1062"/>
      <c r="E225" s="1063" t="e">
        <f>SUM(E223:F224)</f>
        <v>#DIV/0!</v>
      </c>
      <c r="F225" s="1064"/>
    </row>
    <row r="227" spans="2:44" s="897" customFormat="1" ht="4.1500000000000004" customHeight="1">
      <c r="AD227" s="898"/>
      <c r="AE227" s="898"/>
      <c r="AF227" s="898"/>
      <c r="AG227" s="898"/>
      <c r="AH227" s="898"/>
      <c r="AR227" s="898"/>
    </row>
    <row r="228" spans="2:44" ht="13.5" thickBot="1"/>
    <row r="229" spans="2:44" ht="13.5" thickBot="1">
      <c r="B229" s="82" t="s">
        <v>64</v>
      </c>
      <c r="C229" s="962"/>
      <c r="H229" s="1100" t="s">
        <v>124</v>
      </c>
      <c r="I229" s="1101"/>
    </row>
    <row r="230" spans="2:44" ht="13.5" thickBot="1">
      <c r="B230" s="82" t="s">
        <v>66</v>
      </c>
      <c r="C230" s="963"/>
      <c r="H230" s="896" t="s">
        <v>65</v>
      </c>
      <c r="I230" s="885" t="str">
        <f>IF(C229=$L$6,HLOOKUP(C230,$L$7:$T$8,2,0),IF(C229=$U$6,HLOOKUP(C230,$U$7:$Y$8,2,0),""))</f>
        <v/>
      </c>
    </row>
    <row r="231" spans="2:44" ht="13.5" thickBot="1">
      <c r="H231" s="94" t="s">
        <v>67</v>
      </c>
      <c r="I231" s="895" t="str" cm="1">
        <f t="array" ref="I231">IFERROR(_xlfn.IFS(E267&lt;=I230,"Cumple",E267&gt;I230,"No cumple"),"Completar cálculo")</f>
        <v>Completar cálculo</v>
      </c>
    </row>
    <row r="232" spans="2:44" ht="13.5" thickBot="1"/>
    <row r="233" spans="2:44" ht="13.5" thickBot="1">
      <c r="B233" s="1068" t="s">
        <v>86</v>
      </c>
      <c r="C233" s="1069"/>
      <c r="D233" s="1069"/>
      <c r="E233" s="1069"/>
      <c r="F233" s="1070"/>
    </row>
    <row r="234" spans="2:44" ht="26.25" thickBot="1">
      <c r="B234" s="94" t="s">
        <v>69</v>
      </c>
      <c r="C234" s="151" t="s">
        <v>70</v>
      </c>
      <c r="D234" s="58" t="s">
        <v>71</v>
      </c>
      <c r="E234" s="59" t="s">
        <v>72</v>
      </c>
      <c r="F234" s="57" t="s">
        <v>73</v>
      </c>
    </row>
    <row r="235" spans="2:44" ht="13.5" thickBot="1">
      <c r="B235" s="140" t="s">
        <v>75</v>
      </c>
      <c r="C235" s="141"/>
      <c r="D235" s="141"/>
      <c r="E235" s="142"/>
      <c r="F235" s="1029" t="str">
        <f>IF(C229=$L$6,HLOOKUP(C230,$AC$7:$AK$21,14,0),IF(C229=$U$6,HLOOKUP(C230,$AL$7:$AP$21,14,0),""))</f>
        <v/>
      </c>
    </row>
    <row r="236" spans="2:44">
      <c r="B236" s="86"/>
      <c r="C236" s="508"/>
      <c r="D236" s="509"/>
      <c r="E236" s="510"/>
      <c r="F236" s="143" t="str">
        <f t="shared" ref="F236:F243" si="12">IFERROR(C236/E236,"")</f>
        <v/>
      </c>
    </row>
    <row r="237" spans="2:44">
      <c r="B237" s="84"/>
      <c r="C237" s="511"/>
      <c r="D237" s="512"/>
      <c r="E237" s="513"/>
      <c r="F237" s="144" t="str">
        <f t="shared" si="12"/>
        <v/>
      </c>
    </row>
    <row r="238" spans="2:44">
      <c r="B238" s="84"/>
      <c r="C238" s="511"/>
      <c r="D238" s="512"/>
      <c r="E238" s="513"/>
      <c r="F238" s="144" t="str">
        <f t="shared" si="12"/>
        <v/>
      </c>
    </row>
    <row r="239" spans="2:44">
      <c r="B239" s="84"/>
      <c r="C239" s="511"/>
      <c r="D239" s="512"/>
      <c r="E239" s="513"/>
      <c r="F239" s="144" t="str">
        <f t="shared" si="12"/>
        <v/>
      </c>
    </row>
    <row r="240" spans="2:44">
      <c r="B240" s="84"/>
      <c r="C240" s="511"/>
      <c r="D240" s="512"/>
      <c r="E240" s="513"/>
      <c r="F240" s="144" t="str">
        <f t="shared" si="12"/>
        <v/>
      </c>
    </row>
    <row r="241" spans="2:6">
      <c r="B241" s="84"/>
      <c r="C241" s="511"/>
      <c r="D241" s="512"/>
      <c r="E241" s="513"/>
      <c r="F241" s="144" t="str">
        <f t="shared" si="12"/>
        <v/>
      </c>
    </row>
    <row r="242" spans="2:6">
      <c r="B242" s="84"/>
      <c r="C242" s="511"/>
      <c r="D242" s="512"/>
      <c r="E242" s="513"/>
      <c r="F242" s="144" t="str">
        <f t="shared" si="12"/>
        <v/>
      </c>
    </row>
    <row r="243" spans="2:6" ht="13.5" thickBot="1">
      <c r="B243" s="85"/>
      <c r="C243" s="514"/>
      <c r="D243" s="515"/>
      <c r="E243" s="516"/>
      <c r="F243" s="144" t="str">
        <f t="shared" si="12"/>
        <v/>
      </c>
    </row>
    <row r="244" spans="2:6" ht="13.5" thickBot="1">
      <c r="B244" s="140" t="s">
        <v>78</v>
      </c>
      <c r="C244" s="141"/>
      <c r="D244" s="141"/>
      <c r="E244" s="142"/>
      <c r="F244" s="1029" t="str">
        <f>IF(C229=$L$6,HLOOKUP(C230,$AC$7:$AK$21,15,0),IF(C229=$U$6,HLOOKUP(C230,$AL$7:$AP$21,15,0),""))</f>
        <v/>
      </c>
    </row>
    <row r="245" spans="2:6">
      <c r="B245" s="1554" t="s">
        <v>79</v>
      </c>
      <c r="C245" s="1555"/>
      <c r="D245" s="1555"/>
      <c r="E245" s="1556"/>
      <c r="F245" s="146">
        <f>SUM(F235:F244)</f>
        <v>0</v>
      </c>
    </row>
    <row r="246" spans="2:6" ht="13.5" thickBot="1">
      <c r="B246" s="1560" t="s">
        <v>87</v>
      </c>
      <c r="C246" s="1561"/>
      <c r="D246" s="1561"/>
      <c r="E246" s="1562"/>
      <c r="F246" s="150" t="e">
        <f>1/F245</f>
        <v>#DIV/0!</v>
      </c>
    </row>
    <row r="247" spans="2:6" ht="13.5" thickBot="1"/>
    <row r="248" spans="2:6" ht="13.5" thickBot="1">
      <c r="B248" s="1068" t="s">
        <v>88</v>
      </c>
      <c r="C248" s="1069"/>
      <c r="D248" s="1069"/>
      <c r="E248" s="1069"/>
      <c r="F248" s="1070"/>
    </row>
    <row r="249" spans="2:6" ht="26.25" thickBot="1">
      <c r="B249" s="94" t="s">
        <v>69</v>
      </c>
      <c r="C249" s="151" t="s">
        <v>70</v>
      </c>
      <c r="D249" s="58" t="s">
        <v>71</v>
      </c>
      <c r="E249" s="59" t="s">
        <v>72</v>
      </c>
      <c r="F249" s="57" t="s">
        <v>73</v>
      </c>
    </row>
    <row r="250" spans="2:6" ht="13.5" thickBot="1">
      <c r="B250" s="140" t="s">
        <v>75</v>
      </c>
      <c r="C250" s="141"/>
      <c r="D250" s="141"/>
      <c r="E250" s="142"/>
      <c r="F250" s="1029" t="str">
        <f>IF(C229=$L$6,HLOOKUP(C230,$AC$7:$AK$21,14,0),IF(C229=$U$6,HLOOKUP(C230,$AL$7:$AP$21,14,0),""))</f>
        <v/>
      </c>
    </row>
    <row r="251" spans="2:6">
      <c r="B251" s="86"/>
      <c r="C251" s="508"/>
      <c r="D251" s="509"/>
      <c r="E251" s="510"/>
      <c r="F251" s="143" t="str">
        <f t="shared" ref="F251:F258" si="13">IFERROR(C251/E251,"")</f>
        <v/>
      </c>
    </row>
    <row r="252" spans="2:6">
      <c r="B252" s="84"/>
      <c r="C252" s="511"/>
      <c r="D252" s="512"/>
      <c r="E252" s="513"/>
      <c r="F252" s="144" t="str">
        <f t="shared" si="13"/>
        <v/>
      </c>
    </row>
    <row r="253" spans="2:6">
      <c r="B253" s="84"/>
      <c r="C253" s="511"/>
      <c r="D253" s="512"/>
      <c r="E253" s="513"/>
      <c r="F253" s="144" t="str">
        <f t="shared" si="13"/>
        <v/>
      </c>
    </row>
    <row r="254" spans="2:6">
      <c r="B254" s="84"/>
      <c r="C254" s="511"/>
      <c r="D254" s="512"/>
      <c r="E254" s="513"/>
      <c r="F254" s="144" t="str">
        <f t="shared" si="13"/>
        <v/>
      </c>
    </row>
    <row r="255" spans="2:6">
      <c r="B255" s="84"/>
      <c r="C255" s="511"/>
      <c r="D255" s="512"/>
      <c r="E255" s="513"/>
      <c r="F255" s="144" t="str">
        <f t="shared" si="13"/>
        <v/>
      </c>
    </row>
    <row r="256" spans="2:6">
      <c r="B256" s="84"/>
      <c r="C256" s="511"/>
      <c r="D256" s="512"/>
      <c r="E256" s="513"/>
      <c r="F256" s="144" t="str">
        <f t="shared" si="13"/>
        <v/>
      </c>
    </row>
    <row r="257" spans="2:6">
      <c r="B257" s="84"/>
      <c r="C257" s="511"/>
      <c r="D257" s="512"/>
      <c r="E257" s="513"/>
      <c r="F257" s="144" t="str">
        <f t="shared" si="13"/>
        <v/>
      </c>
    </row>
    <row r="258" spans="2:6" ht="13.5" thickBot="1">
      <c r="B258" s="85"/>
      <c r="C258" s="514"/>
      <c r="D258" s="515"/>
      <c r="E258" s="516"/>
      <c r="F258" s="144" t="str">
        <f t="shared" si="13"/>
        <v/>
      </c>
    </row>
    <row r="259" spans="2:6" ht="13.5" thickBot="1">
      <c r="B259" s="140" t="s">
        <v>78</v>
      </c>
      <c r="C259" s="141"/>
      <c r="D259" s="141"/>
      <c r="E259" s="142"/>
      <c r="F259" s="1029" t="str">
        <f>IF(C229=$L$6,HLOOKUP(C230,$AC$7:$AK$21,15,0),IF(C229=$U$6,HLOOKUP(C230,$AL$7:$AP$21,15,0),""))</f>
        <v/>
      </c>
    </row>
    <row r="260" spans="2:6">
      <c r="B260" s="1554" t="s">
        <v>79</v>
      </c>
      <c r="C260" s="1555"/>
      <c r="D260" s="1555"/>
      <c r="E260" s="1556"/>
      <c r="F260" s="146">
        <f>SUM(F250:F259)</f>
        <v>0</v>
      </c>
    </row>
    <row r="261" spans="2:6" ht="13.5" thickBot="1">
      <c r="B261" s="1560" t="s">
        <v>89</v>
      </c>
      <c r="C261" s="1561"/>
      <c r="D261" s="1561"/>
      <c r="E261" s="1562"/>
      <c r="F261" s="150" t="e">
        <f>1/F260</f>
        <v>#DIV/0!</v>
      </c>
    </row>
    <row r="262" spans="2:6" ht="13.5" thickBot="1"/>
    <row r="263" spans="2:6" ht="13.5" thickBot="1">
      <c r="B263" s="1074" t="s">
        <v>90</v>
      </c>
      <c r="C263" s="1074"/>
      <c r="D263" s="1074"/>
      <c r="E263" s="1074"/>
      <c r="F263" s="1074"/>
    </row>
    <row r="264" spans="2:6" ht="13.5" thickBot="1">
      <c r="B264" s="94" t="s">
        <v>91</v>
      </c>
      <c r="C264" s="1075" t="s">
        <v>92</v>
      </c>
      <c r="D264" s="1075"/>
      <c r="E264" s="1075" t="s">
        <v>93</v>
      </c>
      <c r="F264" s="1075"/>
    </row>
    <row r="265" spans="2:6">
      <c r="B265" s="92" t="s">
        <v>94</v>
      </c>
      <c r="C265" s="1066"/>
      <c r="D265" s="1066"/>
      <c r="E265" s="1067" t="e">
        <f>F246*C265</f>
        <v>#DIV/0!</v>
      </c>
      <c r="F265" s="1067"/>
    </row>
    <row r="266" spans="2:6" ht="13.5" thickBot="1">
      <c r="B266" s="91" t="s">
        <v>95</v>
      </c>
      <c r="C266" s="1060">
        <f>1-C265</f>
        <v>1</v>
      </c>
      <c r="D266" s="1060"/>
      <c r="E266" s="1061" t="e">
        <f>F261*C266</f>
        <v>#DIV/0!</v>
      </c>
      <c r="F266" s="1061"/>
    </row>
    <row r="267" spans="2:6" ht="13.5" thickBot="1">
      <c r="B267" s="1062" t="s">
        <v>96</v>
      </c>
      <c r="C267" s="1062"/>
      <c r="D267" s="1062"/>
      <c r="E267" s="1063" t="e">
        <f>SUM(E265:F266)</f>
        <v>#DIV/0!</v>
      </c>
      <c r="F267" s="1064"/>
    </row>
  </sheetData>
  <sheetProtection algorithmName="SHA-512" hashValue="RDwqZwstwTS6PtFNqxJBKeprLl8F9Pv74fPPqy0EJsJMzrfnw6e4wyd/7zYrj/b8B+PmUAhjTkQQBczLxmDv9Q==" saltValue="khne7sSR+8k0DoNX4/zXww==" spinCount="100000" sheet="1" objects="1" scenarios="1"/>
  <mergeCells count="99">
    <mergeCell ref="AU5:AV5"/>
    <mergeCell ref="AB5:AP5"/>
    <mergeCell ref="K5:Y5"/>
    <mergeCell ref="B36:F36"/>
    <mergeCell ref="B58:F58"/>
    <mergeCell ref="U6:Y6"/>
    <mergeCell ref="E7:E8"/>
    <mergeCell ref="F7:F8"/>
    <mergeCell ref="B95:E95"/>
    <mergeCell ref="B121:E121"/>
    <mergeCell ref="B94:E94"/>
    <mergeCell ref="B161:E161"/>
    <mergeCell ref="B162:E162"/>
    <mergeCell ref="B97:F97"/>
    <mergeCell ref="E98:F98"/>
    <mergeCell ref="E99:F99"/>
    <mergeCell ref="C98:D98"/>
    <mergeCell ref="E100:F100"/>
    <mergeCell ref="C99:D99"/>
    <mergeCell ref="B149:F149"/>
    <mergeCell ref="B140:E140"/>
    <mergeCell ref="B141:E141"/>
    <mergeCell ref="C100:D100"/>
    <mergeCell ref="B101:D101"/>
    <mergeCell ref="B164:F164"/>
    <mergeCell ref="B176:E176"/>
    <mergeCell ref="B177:E177"/>
    <mergeCell ref="B179:F179"/>
    <mergeCell ref="C180:D180"/>
    <mergeCell ref="E180:F180"/>
    <mergeCell ref="C181:D181"/>
    <mergeCell ref="E181:F181"/>
    <mergeCell ref="C182:D182"/>
    <mergeCell ref="E182:F182"/>
    <mergeCell ref="B183:D183"/>
    <mergeCell ref="E183:F183"/>
    <mergeCell ref="B191:F191"/>
    <mergeCell ref="B267:D267"/>
    <mergeCell ref="E267:F267"/>
    <mergeCell ref="B263:F263"/>
    <mergeCell ref="C264:D264"/>
    <mergeCell ref="E264:F264"/>
    <mergeCell ref="C265:D265"/>
    <mergeCell ref="E265:F265"/>
    <mergeCell ref="H63:I63"/>
    <mergeCell ref="H145:I145"/>
    <mergeCell ref="C266:D266"/>
    <mergeCell ref="E266:F266"/>
    <mergeCell ref="B245:E245"/>
    <mergeCell ref="B246:E246"/>
    <mergeCell ref="B248:F248"/>
    <mergeCell ref="B260:E260"/>
    <mergeCell ref="B261:E261"/>
    <mergeCell ref="C224:D224"/>
    <mergeCell ref="E224:F224"/>
    <mergeCell ref="B225:D225"/>
    <mergeCell ref="E225:F225"/>
    <mergeCell ref="B233:F233"/>
    <mergeCell ref="B221:F221"/>
    <mergeCell ref="C222:D222"/>
    <mergeCell ref="H59:L59"/>
    <mergeCell ref="AC32:AC42"/>
    <mergeCell ref="AD32:AG32"/>
    <mergeCell ref="H34:L34"/>
    <mergeCell ref="AE33:AL54"/>
    <mergeCell ref="H42:L54"/>
    <mergeCell ref="H38:I38"/>
    <mergeCell ref="B67:F67"/>
    <mergeCell ref="B120:E120"/>
    <mergeCell ref="H187:I187"/>
    <mergeCell ref="H229:I229"/>
    <mergeCell ref="H105:I105"/>
    <mergeCell ref="H109:L121"/>
    <mergeCell ref="H125:I125"/>
    <mergeCell ref="H129:L141"/>
    <mergeCell ref="E222:F222"/>
    <mergeCell ref="C223:D223"/>
    <mergeCell ref="E223:F223"/>
    <mergeCell ref="B203:E203"/>
    <mergeCell ref="B204:E204"/>
    <mergeCell ref="B206:F206"/>
    <mergeCell ref="B218:E218"/>
    <mergeCell ref="B219:E219"/>
    <mergeCell ref="B82:F82"/>
    <mergeCell ref="B34:F34"/>
    <mergeCell ref="B35:F35"/>
    <mergeCell ref="AC6:AK6"/>
    <mergeCell ref="AL6:AP6"/>
    <mergeCell ref="AB6:AB7"/>
    <mergeCell ref="AH32:AL32"/>
    <mergeCell ref="B53:E53"/>
    <mergeCell ref="B54:E54"/>
    <mergeCell ref="B79:E79"/>
    <mergeCell ref="B80:E80"/>
    <mergeCell ref="B59:F59"/>
    <mergeCell ref="B60:F60"/>
    <mergeCell ref="B61:F61"/>
    <mergeCell ref="B33:F33"/>
    <mergeCell ref="L6:T6"/>
  </mergeCells>
  <phoneticPr fontId="17" type="noConversion"/>
  <conditionalFormatting sqref="B4:C5">
    <cfRule type="expression" dxfId="337" priority="1">
      <formula>IF($C$3=3,0,1)</formula>
    </cfRule>
  </conditionalFormatting>
  <conditionalFormatting sqref="H9:I26">
    <cfRule type="containsText" dxfId="336" priority="4" operator="containsText" text="No cumple">
      <formula>NOT(ISERROR(SEARCH("No cumple",H9)))</formula>
    </cfRule>
    <cfRule type="containsText" dxfId="335" priority="5" operator="containsText" text="Cumple">
      <formula>NOT(ISERROR(SEARCH("Cumple",H9)))</formula>
    </cfRule>
  </conditionalFormatting>
  <conditionalFormatting sqref="I40">
    <cfRule type="containsText" dxfId="334" priority="22" operator="containsText" text="No cumple">
      <formula>NOT(ISERROR(SEARCH("No cumple",I40)))</formula>
    </cfRule>
    <cfRule type="containsText" dxfId="333" priority="23" operator="containsText" text="Cumple">
      <formula>NOT(ISERROR(SEARCH("Cumple",I40)))</formula>
    </cfRule>
  </conditionalFormatting>
  <conditionalFormatting sqref="I65">
    <cfRule type="containsText" dxfId="332" priority="18" operator="containsText" text="No cumple">
      <formula>NOT(ISERROR(SEARCH("No cumple",I65)))</formula>
    </cfRule>
    <cfRule type="containsText" dxfId="331" priority="19" operator="containsText" text="Cumple">
      <formula>NOT(ISERROR(SEARCH("Cumple",I65)))</formula>
    </cfRule>
  </conditionalFormatting>
  <conditionalFormatting sqref="I107">
    <cfRule type="containsText" dxfId="330" priority="8" operator="containsText" text="No cumple">
      <formula>NOT(ISERROR(SEARCH("No cumple",I107)))</formula>
    </cfRule>
    <cfRule type="containsText" dxfId="329" priority="9" operator="containsText" text="Cumple">
      <formula>NOT(ISERROR(SEARCH("Cumple",I107)))</formula>
    </cfRule>
  </conditionalFormatting>
  <conditionalFormatting sqref="I127">
    <cfRule type="containsText" dxfId="328" priority="6" operator="containsText" text="No cumple">
      <formula>NOT(ISERROR(SEARCH("No cumple",I127)))</formula>
    </cfRule>
    <cfRule type="containsText" dxfId="327" priority="7" operator="containsText" text="Cumple">
      <formula>NOT(ISERROR(SEARCH("Cumple",I127)))</formula>
    </cfRule>
  </conditionalFormatting>
  <conditionalFormatting sqref="I147">
    <cfRule type="containsText" dxfId="326" priority="14" operator="containsText" text="No cumple">
      <formula>NOT(ISERROR(SEARCH("No cumple",I147)))</formula>
    </cfRule>
    <cfRule type="containsText" dxfId="325" priority="15" operator="containsText" text="Cumple">
      <formula>NOT(ISERROR(SEARCH("Cumple",I147)))</formula>
    </cfRule>
  </conditionalFormatting>
  <conditionalFormatting sqref="I189">
    <cfRule type="containsText" dxfId="324" priority="12" operator="containsText" text="No cumple">
      <formula>NOT(ISERROR(SEARCH("No cumple",I189)))</formula>
    </cfRule>
    <cfRule type="containsText" dxfId="323" priority="13" operator="containsText" text="Cumple">
      <formula>NOT(ISERROR(SEARCH("Cumple",I189)))</formula>
    </cfRule>
  </conditionalFormatting>
  <conditionalFormatting sqref="I231">
    <cfRule type="containsText" dxfId="322" priority="10" operator="containsText" text="No cumple">
      <formula>NOT(ISERROR(SEARCH("No cumple",I231)))</formula>
    </cfRule>
    <cfRule type="containsText" dxfId="321" priority="11" operator="containsText" text="Cumple">
      <formula>NOT(ISERROR(SEARCH("Cumple",I231)))</formula>
    </cfRule>
  </conditionalFormatting>
  <conditionalFormatting sqref="L8:Y8">
    <cfRule type="containsErrors" dxfId="320" priority="2">
      <formula>ISERROR(L8)</formula>
    </cfRule>
  </conditionalFormatting>
  <dataValidations count="11">
    <dataValidation type="list" allowBlank="1" showInputMessage="1" showErrorMessage="1" sqref="C39" xr:uid="{7E94B044-9C7E-4FD4-AAEF-4F7246149334}">
      <formula1>INDIRECT(SUBSTITUTE($C$38," ","_"))</formula1>
    </dataValidation>
    <dataValidation type="list" allowBlank="1" showInputMessage="1" showErrorMessage="1" sqref="C38 C9:C26 C63 C145 C187 C229 C105 C125" xr:uid="{030A896A-ED93-4FC0-91E2-B0D488AF2212}">
      <formula1>$AC$6:$AP$6</formula1>
    </dataValidation>
    <dataValidation type="list" allowBlank="1" showInputMessage="1" showErrorMessage="1" sqref="C3" xr:uid="{866E8BA7-D375-431E-8F46-E0A479BC7940}">
      <formula1>"0,1,2,3,4,5,6,7"</formula1>
    </dataValidation>
    <dataValidation type="list" allowBlank="1" showInputMessage="1" showErrorMessage="1" sqref="D9:D26" xr:uid="{E17ED6E6-C75B-4CA8-AB60-95CB9374062A}">
      <formula1>INDIRECT(SUBSTITUTE($C9," ","_"))</formula1>
    </dataValidation>
    <dataValidation type="list" allowBlank="1" showInputMessage="1" showErrorMessage="1" sqref="C64" xr:uid="{9FC55322-F302-4805-9796-861071E85B51}">
      <formula1>INDIRECT(SUBSTITUTE($C$63," ","_"))</formula1>
    </dataValidation>
    <dataValidation type="list" allowBlank="1" showInputMessage="1" showErrorMessage="1" sqref="C106" xr:uid="{DF6817C7-9C92-42B8-87BB-B50641416FAE}">
      <formula1>INDIRECT(SUBSTITUTE($C$105," ","_"))</formula1>
    </dataValidation>
    <dataValidation type="list" allowBlank="1" showInputMessage="1" showErrorMessage="1" sqref="C126" xr:uid="{455C7462-A357-4F3C-836B-9A06523F35D9}">
      <formula1>INDIRECT(SUBSTITUTE($C$125," ","_"))</formula1>
    </dataValidation>
    <dataValidation type="list" allowBlank="1" showInputMessage="1" showErrorMessage="1" sqref="C146" xr:uid="{100FE7B8-C4E6-4185-AC05-2CC29476983D}">
      <formula1>INDIRECT(SUBSTITUTE($C$145," ","_"))</formula1>
    </dataValidation>
    <dataValidation type="list" allowBlank="1" showInputMessage="1" showErrorMessage="1" sqref="C188" xr:uid="{85C8435F-147B-4CA9-B235-D62E7FA78B5E}">
      <formula1>INDIRECT(SUBSTITUTE($C$187," ","_"))</formula1>
    </dataValidation>
    <dataValidation type="list" allowBlank="1" showInputMessage="1" showErrorMessage="1" sqref="C230" xr:uid="{8FD27977-8AC5-42E9-B044-EAE4E173FE1B}">
      <formula1>INDIRECT(SUBSTITUTE($C$229," ","_"))</formula1>
    </dataValidation>
    <dataValidation type="list" allowBlank="1" showInputMessage="1" showErrorMessage="1" sqref="C4:C5" xr:uid="{78808888-A478-4556-9811-D1CF00BE4E38}">
      <formula1>IF($C$3=3,$AR$8:$AR$9,$AR$11)</formula1>
    </dataValidation>
  </dataValidations>
  <pageMargins left="0.7" right="0.7" top="0.98624999999999996" bottom="0.75" header="0.3" footer="0.3"/>
  <pageSetup paperSize="9" scale="81" orientation="landscape" r:id="rId1"/>
  <headerFooter>
    <oddHeader>&amp;L&amp;G</oddHeader>
    <oddFooter>&amp;L&amp;D&amp;R&amp;A</oddFooter>
  </headerFooter>
  <ignoredErrors>
    <ignoredError sqref="C100" unlockedFormula="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1D9B4-F2C4-4A42-A5D7-521EF71E4736}">
  <dimension ref="A1:O23"/>
  <sheetViews>
    <sheetView showGridLines="0" zoomScaleNormal="100" zoomScalePageLayoutView="70" workbookViewId="0">
      <selection activeCell="C14" sqref="C14:D14"/>
    </sheetView>
  </sheetViews>
  <sheetFormatPr defaultColWidth="8.7109375" defaultRowHeight="12.75"/>
  <cols>
    <col min="1" max="1" width="5.28515625" customWidth="1"/>
    <col min="2" max="2" width="24.7109375" customWidth="1"/>
    <col min="3" max="3" width="15.7109375" customWidth="1"/>
    <col min="4" max="4" width="18.28515625" customWidth="1"/>
    <col min="5" max="5" width="25.28515625" customWidth="1"/>
    <col min="6" max="6" width="11.7109375" customWidth="1"/>
    <col min="10" max="10" width="2.7109375" customWidth="1"/>
  </cols>
  <sheetData>
    <row r="1" spans="1:15" s="117" customFormat="1" ht="26.85" customHeight="1">
      <c r="A1" s="115" t="s">
        <v>147</v>
      </c>
      <c r="B1" s="116" t="s">
        <v>148</v>
      </c>
      <c r="C1" s="116"/>
      <c r="D1" s="116"/>
      <c r="E1" s="116" t="s">
        <v>149</v>
      </c>
      <c r="H1" s="116" t="s">
        <v>150</v>
      </c>
    </row>
    <row r="2" spans="1:15" s="107" customFormat="1" ht="14.25">
      <c r="A2" s="105"/>
      <c r="B2" s="106"/>
      <c r="C2" s="106"/>
      <c r="D2" s="106"/>
      <c r="E2" s="106"/>
    </row>
    <row r="3" spans="1:15" s="25" customFormat="1">
      <c r="B3" s="25" t="s">
        <v>151</v>
      </c>
    </row>
    <row r="4" spans="1:15" s="4" customFormat="1" ht="19.5" customHeight="1"/>
    <row r="5" spans="1:15" s="4" customFormat="1" ht="54.75" customHeight="1">
      <c r="B5" s="1112" t="s">
        <v>152</v>
      </c>
      <c r="C5" s="1112"/>
      <c r="D5" s="1112"/>
    </row>
    <row r="7" spans="1:15" s="23" customFormat="1">
      <c r="B7" s="25" t="s">
        <v>153</v>
      </c>
    </row>
    <row r="8" spans="1:15" s="467" customFormat="1" ht="13.5" thickBot="1">
      <c r="B8" s="798"/>
    </row>
    <row r="9" spans="1:15" ht="13.5" thickBot="1">
      <c r="B9" s="797" t="s">
        <v>154</v>
      </c>
      <c r="C9" s="104"/>
      <c r="D9" s="96"/>
      <c r="F9" s="1121" t="s">
        <v>155</v>
      </c>
      <c r="G9" s="1121"/>
      <c r="H9" s="1121"/>
      <c r="I9" s="1121"/>
    </row>
    <row r="10" spans="1:15" ht="12.6" customHeight="1">
      <c r="B10" s="95" t="s">
        <v>156</v>
      </c>
      <c r="C10" s="104"/>
      <c r="D10" s="96" t="s">
        <v>157</v>
      </c>
      <c r="F10" s="1122" t="s">
        <v>158</v>
      </c>
      <c r="G10" s="1122"/>
      <c r="H10" s="1122"/>
      <c r="I10" s="1122"/>
      <c r="K10" s="1059" t="s">
        <v>159</v>
      </c>
      <c r="L10" s="1059"/>
      <c r="M10" s="1059"/>
      <c r="N10" s="1059"/>
      <c r="O10" s="1059"/>
    </row>
    <row r="11" spans="1:15">
      <c r="B11" s="97" t="s">
        <v>160</v>
      </c>
      <c r="C11" s="81"/>
      <c r="D11" s="98" t="s">
        <v>161</v>
      </c>
      <c r="F11" s="1059"/>
      <c r="G11" s="1059"/>
      <c r="H11" s="1059"/>
      <c r="I11" s="1059"/>
      <c r="K11" s="1059"/>
      <c r="L11" s="1059"/>
      <c r="M11" s="1059"/>
      <c r="N11" s="1059"/>
      <c r="O11" s="1059"/>
    </row>
    <row r="12" spans="1:15" ht="13.5" thickBot="1">
      <c r="B12" s="99" t="s">
        <v>162</v>
      </c>
      <c r="C12" s="100">
        <f>C11*C10</f>
        <v>0</v>
      </c>
      <c r="D12" s="101" t="s">
        <v>163</v>
      </c>
      <c r="K12" s="1059"/>
      <c r="L12" s="1059"/>
      <c r="M12" s="1059"/>
      <c r="N12" s="1059"/>
      <c r="O12" s="1059"/>
    </row>
    <row r="13" spans="1:15" ht="13.5" thickBot="1">
      <c r="K13" s="1059"/>
      <c r="L13" s="1059"/>
      <c r="M13" s="1059"/>
      <c r="N13" s="1059"/>
      <c r="O13" s="1059"/>
    </row>
    <row r="14" spans="1:15" ht="36.6" customHeight="1">
      <c r="B14" s="153" t="s">
        <v>164</v>
      </c>
      <c r="C14" s="1114"/>
      <c r="D14" s="1115"/>
      <c r="F14" s="1116" t="s">
        <v>165</v>
      </c>
      <c r="G14" s="1117"/>
      <c r="H14" s="1117"/>
      <c r="I14" s="1117"/>
      <c r="K14" s="1059"/>
      <c r="L14" s="1059"/>
      <c r="M14" s="1059"/>
      <c r="N14" s="1059"/>
      <c r="O14" s="1059"/>
    </row>
    <row r="15" spans="1:15" ht="40.15" customHeight="1">
      <c r="B15" s="102" t="s">
        <v>166</v>
      </c>
      <c r="C15" s="80"/>
      <c r="D15" s="154" t="s">
        <v>167</v>
      </c>
      <c r="F15" s="1118" t="s">
        <v>168</v>
      </c>
      <c r="G15" s="1119"/>
      <c r="H15" s="1119"/>
      <c r="I15" s="1119"/>
      <c r="K15" s="1059"/>
      <c r="L15" s="1059"/>
      <c r="M15" s="1059"/>
      <c r="N15" s="1059"/>
      <c r="O15" s="1059"/>
    </row>
    <row r="16" spans="1:15" ht="50.1" customHeight="1">
      <c r="B16" s="799" t="s">
        <v>169</v>
      </c>
      <c r="C16" s="83"/>
      <c r="D16" s="156" t="s">
        <v>170</v>
      </c>
      <c r="F16" s="1118" t="s">
        <v>171</v>
      </c>
      <c r="G16" s="1119"/>
      <c r="H16" s="1119"/>
      <c r="I16" s="1119"/>
      <c r="K16" s="1059"/>
      <c r="L16" s="1059"/>
      <c r="M16" s="1059"/>
      <c r="N16" s="1059"/>
      <c r="O16" s="1059"/>
    </row>
    <row r="17" spans="2:15" ht="38.1" customHeight="1" thickBot="1">
      <c r="B17" s="800" t="s">
        <v>172</v>
      </c>
      <c r="C17" s="497" t="str">
        <f>IFERROR(C16-(C12/C15),"0")</f>
        <v>0</v>
      </c>
      <c r="D17" s="103" t="s">
        <v>173</v>
      </c>
      <c r="F17" s="1120" t="s">
        <v>174</v>
      </c>
      <c r="G17" s="1112"/>
      <c r="H17" s="1112"/>
      <c r="I17" s="1112"/>
      <c r="K17" s="1059"/>
      <c r="L17" s="1059"/>
      <c r="M17" s="1059"/>
      <c r="N17" s="1059"/>
      <c r="O17" s="1059"/>
    </row>
    <row r="18" spans="2:15" ht="13.5" thickBot="1">
      <c r="B18" s="14"/>
      <c r="C18" s="14"/>
      <c r="D18" s="14"/>
      <c r="F18" s="1553"/>
      <c r="G18" s="1553"/>
      <c r="H18" s="1553"/>
      <c r="I18" s="1553"/>
    </row>
    <row r="19" spans="2:15" ht="39.6" customHeight="1" thickBot="1">
      <c r="B19" s="801" t="s">
        <v>175</v>
      </c>
      <c r="C19" s="475"/>
      <c r="D19" s="155" t="s">
        <v>173</v>
      </c>
      <c r="F19" s="1113" t="s">
        <v>176</v>
      </c>
      <c r="G19" s="1078"/>
      <c r="H19" s="1078"/>
      <c r="I19" s="1078"/>
    </row>
    <row r="20" spans="2:15" ht="25.5" customHeight="1" thickBot="1">
      <c r="B20" s="801" t="s">
        <v>177</v>
      </c>
      <c r="C20" s="866" t="str">
        <f>IF(C17&lt;=0,"Completar información",IF(C19&lt;C17,"Cumple","No cumple"))</f>
        <v>Cumple</v>
      </c>
      <c r="D20" s="155"/>
    </row>
    <row r="23" spans="2:15">
      <c r="F23" s="152"/>
    </row>
  </sheetData>
  <sheetProtection algorithmName="SHA-512" hashValue="GzJRrxcmK2Wrp/0mz1XuNRR7qVyHCiod/KhbrPwOkY0jd+PBKFKrlC/ISULHNvbOJyDYH4DTVq+OLWt+mejstw==" saltValue="UzbtIEs4PuqWIF4aBdmAYw==" spinCount="100000" sheet="1" objects="1" scenarios="1"/>
  <mergeCells count="11">
    <mergeCell ref="B5:D5"/>
    <mergeCell ref="F18:I18"/>
    <mergeCell ref="F19:I19"/>
    <mergeCell ref="K10:O17"/>
    <mergeCell ref="C14:D14"/>
    <mergeCell ref="F14:I14"/>
    <mergeCell ref="F15:I15"/>
    <mergeCell ref="F16:I16"/>
    <mergeCell ref="F17:I17"/>
    <mergeCell ref="F9:I9"/>
    <mergeCell ref="F10:I11"/>
  </mergeCells>
  <phoneticPr fontId="17" type="noConversion"/>
  <conditionalFormatting sqref="C19:C20">
    <cfRule type="containsText" dxfId="319" priority="1" operator="containsText" text="No cumple">
      <formula>NOT(ISERROR(SEARCH("No cumple",C19)))</formula>
    </cfRule>
    <cfRule type="containsText" dxfId="318" priority="2" operator="containsText" text="Cumple">
      <formula>NOT(ISERROR(SEARCH("Cumple",C19)))</formula>
    </cfRule>
  </conditionalFormatting>
  <pageMargins left="0.7" right="0.7" top="0.98624999999999996" bottom="0.75" header="0.3" footer="0.3"/>
  <pageSetup paperSize="9" scale="74" orientation="landscape" r:id="rId1"/>
  <headerFooter>
    <oddHeader>&amp;L&amp;G</oddHeader>
    <oddFooter>&amp;L&amp;D&amp;R&amp;A</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5BFC4-B320-4C2D-8913-0C5025D6F9E3}">
  <dimension ref="A1:AE318"/>
  <sheetViews>
    <sheetView showGridLines="0" topLeftCell="A217" zoomScaleNormal="100" zoomScalePageLayoutView="80" workbookViewId="0">
      <selection activeCell="F3" sqref="F3"/>
    </sheetView>
  </sheetViews>
  <sheetFormatPr defaultColWidth="11.5703125" defaultRowHeight="12.75"/>
  <cols>
    <col min="1" max="1" width="11.5703125" style="333"/>
    <col min="2" max="2" width="21.42578125" style="333" customWidth="1"/>
    <col min="3" max="4" width="17.28515625" style="333" customWidth="1"/>
    <col min="5" max="5" width="22.7109375" style="333" customWidth="1"/>
    <col min="6" max="6" width="21.28515625" style="333" customWidth="1"/>
    <col min="7" max="7" width="20.7109375" style="335" customWidth="1"/>
    <col min="8" max="8" width="16.5703125" style="333" customWidth="1"/>
    <col min="9" max="9" width="20.28515625" style="335" customWidth="1"/>
    <col min="10" max="11" width="11.5703125" style="333"/>
    <col min="12" max="12" width="43.7109375" style="335" customWidth="1"/>
    <col min="13" max="13" width="32.7109375" style="335" customWidth="1"/>
    <col min="14" max="16384" width="11.5703125" style="333"/>
  </cols>
  <sheetData>
    <row r="1" spans="1:21" s="344" customFormat="1" ht="24" customHeight="1">
      <c r="A1" s="345" t="s">
        <v>178</v>
      </c>
      <c r="B1" s="346" t="s">
        <v>179</v>
      </c>
      <c r="E1" s="346"/>
      <c r="F1" s="116" t="s">
        <v>4</v>
      </c>
      <c r="G1" s="347"/>
      <c r="H1" s="116" t="s">
        <v>180</v>
      </c>
      <c r="I1" s="347"/>
      <c r="L1" s="347"/>
      <c r="M1" s="347"/>
    </row>
    <row r="2" spans="1:21" s="340" customFormat="1" ht="18" customHeight="1" thickBot="1">
      <c r="B2" s="348"/>
      <c r="C2" s="349"/>
      <c r="D2" s="349"/>
      <c r="E2" s="349"/>
      <c r="F2" s="349"/>
      <c r="G2" s="350"/>
      <c r="I2" s="350"/>
      <c r="L2" s="350"/>
      <c r="M2" s="350"/>
    </row>
    <row r="3" spans="1:21" s="340" customFormat="1" ht="18" customHeight="1">
      <c r="B3" s="1164" t="s">
        <v>181</v>
      </c>
      <c r="C3" s="1165"/>
      <c r="D3" s="1165"/>
      <c r="E3" s="1165"/>
      <c r="F3" s="1058"/>
      <c r="G3" s="350"/>
      <c r="I3" s="350"/>
      <c r="L3" s="350"/>
      <c r="M3" s="350"/>
    </row>
    <row r="4" spans="1:21" s="340" customFormat="1" ht="18" customHeight="1">
      <c r="B4" s="348"/>
      <c r="C4" s="349"/>
      <c r="D4" s="349"/>
      <c r="E4" s="349"/>
      <c r="F4" s="349"/>
      <c r="G4" s="350"/>
      <c r="I4" s="350"/>
      <c r="L4" s="350"/>
      <c r="M4" s="350"/>
    </row>
    <row r="5" spans="1:21" s="656" customFormat="1" ht="18.75">
      <c r="B5" s="657" t="s">
        <v>182</v>
      </c>
      <c r="C5" s="658"/>
      <c r="D5" s="658"/>
      <c r="E5" s="658"/>
      <c r="G5" s="659"/>
      <c r="I5" s="659"/>
      <c r="J5" s="344"/>
      <c r="K5" s="344"/>
      <c r="L5" s="659"/>
      <c r="M5" s="659"/>
    </row>
    <row r="6" spans="1:21" ht="15.75" thickBot="1">
      <c r="J6" s="340"/>
      <c r="K6" s="340"/>
      <c r="N6" s="343"/>
      <c r="P6" s="343"/>
      <c r="Q6" s="343"/>
      <c r="R6" s="343"/>
      <c r="S6" s="343"/>
      <c r="T6" s="343"/>
      <c r="U6" s="343"/>
    </row>
    <row r="7" spans="1:21" s="157" customFormat="1" ht="14.85" customHeight="1">
      <c r="B7" s="1166" t="s">
        <v>183</v>
      </c>
      <c r="C7" s="1167"/>
      <c r="D7" s="1167"/>
      <c r="E7" s="1167"/>
      <c r="F7" s="763" t="s">
        <v>184</v>
      </c>
      <c r="G7" s="1168" t="s">
        <v>112</v>
      </c>
      <c r="H7" s="1168"/>
      <c r="I7" s="764"/>
      <c r="J7" s="682"/>
      <c r="K7" s="682"/>
      <c r="L7" s="1157" t="s">
        <v>185</v>
      </c>
      <c r="M7" s="1157"/>
      <c r="N7" s="326"/>
      <c r="O7" s="1160" t="s">
        <v>186</v>
      </c>
      <c r="P7" s="1160"/>
      <c r="Q7" s="1160"/>
      <c r="R7" s="1160"/>
      <c r="S7" s="1160"/>
      <c r="T7" s="1160"/>
      <c r="U7" s="1160"/>
    </row>
    <row r="8" spans="1:21" s="157" customFormat="1" ht="61.35" customHeight="1" thickBot="1">
      <c r="B8" s="758" t="s">
        <v>187</v>
      </c>
      <c r="C8" s="759" t="s">
        <v>188</v>
      </c>
      <c r="D8" s="759" t="s">
        <v>189</v>
      </c>
      <c r="E8" s="759" t="s">
        <v>190</v>
      </c>
      <c r="F8" s="759" t="s">
        <v>191</v>
      </c>
      <c r="G8" s="759" t="s">
        <v>192</v>
      </c>
      <c r="H8" s="759" t="s">
        <v>193</v>
      </c>
      <c r="I8" s="760" t="s">
        <v>194</v>
      </c>
      <c r="J8" s="682"/>
      <c r="K8" s="682"/>
      <c r="L8" s="1157"/>
      <c r="M8" s="1157"/>
      <c r="N8" s="326"/>
      <c r="O8" s="1156" t="s">
        <v>195</v>
      </c>
      <c r="P8" s="1156"/>
      <c r="Q8" s="1156"/>
      <c r="R8" s="1156"/>
      <c r="S8" s="1156"/>
      <c r="T8" s="1156"/>
      <c r="U8" s="1156"/>
    </row>
    <row r="9" spans="1:21" s="157" customFormat="1">
      <c r="A9" s="327">
        <v>1</v>
      </c>
      <c r="B9" s="693"/>
      <c r="C9" s="694"/>
      <c r="D9" s="694"/>
      <c r="E9" s="694"/>
      <c r="F9" s="694"/>
      <c r="G9" s="694"/>
      <c r="H9" s="694"/>
      <c r="I9" s="730">
        <f>Tabla611[[#This Row],[m2
Puertas exteriores]]+Tabla611[[#This Row],[m2
Ventanas]]</f>
        <v>0</v>
      </c>
      <c r="J9" s="682"/>
      <c r="K9" s="682"/>
      <c r="L9" s="1158"/>
      <c r="M9" s="1158"/>
      <c r="N9" s="326"/>
      <c r="O9" s="1156"/>
      <c r="P9" s="1156"/>
      <c r="Q9" s="1156"/>
      <c r="R9" s="1156"/>
      <c r="S9" s="1156"/>
      <c r="T9" s="1156"/>
      <c r="U9" s="1156"/>
    </row>
    <row r="10" spans="1:21" s="157" customFormat="1">
      <c r="A10" s="327">
        <v>2</v>
      </c>
      <c r="B10" s="695"/>
      <c r="C10" s="696"/>
      <c r="D10" s="696"/>
      <c r="E10" s="696"/>
      <c r="F10" s="696"/>
      <c r="G10" s="696"/>
      <c r="H10" s="696"/>
      <c r="I10" s="731">
        <f>Tabla611[[#This Row],[m2
Puertas exteriores]]+Tabla611[[#This Row],[m2
Ventanas]]</f>
        <v>0</v>
      </c>
      <c r="J10" s="682"/>
      <c r="K10" s="682"/>
      <c r="L10" s="598" t="s">
        <v>196</v>
      </c>
      <c r="M10" s="598" t="s">
        <v>197</v>
      </c>
      <c r="O10" s="1156"/>
      <c r="P10" s="1156"/>
      <c r="Q10" s="1156"/>
      <c r="R10" s="1156"/>
      <c r="S10" s="1156"/>
      <c r="T10" s="1156"/>
      <c r="U10" s="1156"/>
    </row>
    <row r="11" spans="1:21" s="157" customFormat="1">
      <c r="A11" s="327">
        <v>3</v>
      </c>
      <c r="B11" s="695"/>
      <c r="C11" s="696"/>
      <c r="D11" s="696"/>
      <c r="E11" s="697"/>
      <c r="F11" s="696"/>
      <c r="G11" s="696"/>
      <c r="H11" s="696"/>
      <c r="I11" s="731">
        <f>Tabla611[[#This Row],[m2
Puertas exteriores]]+Tabla611[[#This Row],[m2
Ventanas]]</f>
        <v>0</v>
      </c>
      <c r="J11" s="682"/>
      <c r="K11" s="682"/>
      <c r="L11" s="700"/>
      <c r="M11" s="83"/>
      <c r="O11" s="1156"/>
      <c r="P11" s="1156"/>
      <c r="Q11" s="1156"/>
      <c r="R11" s="1156"/>
      <c r="S11" s="1156"/>
      <c r="T11" s="1156"/>
      <c r="U11" s="1156"/>
    </row>
    <row r="12" spans="1:21" s="157" customFormat="1">
      <c r="A12" s="327">
        <v>4</v>
      </c>
      <c r="B12" s="695"/>
      <c r="C12" s="696"/>
      <c r="D12" s="696"/>
      <c r="E12" s="696"/>
      <c r="F12" s="696"/>
      <c r="G12" s="696"/>
      <c r="H12" s="696"/>
      <c r="I12" s="731">
        <f>Tabla611[[#This Row],[m2
Puertas exteriores]]+Tabla611[[#This Row],[m2
Ventanas]]</f>
        <v>0</v>
      </c>
      <c r="J12" s="682"/>
      <c r="K12" s="682"/>
      <c r="L12" s="700"/>
      <c r="M12" s="83"/>
      <c r="O12" s="1156"/>
      <c r="P12" s="1156"/>
      <c r="Q12" s="1156"/>
      <c r="R12" s="1156"/>
      <c r="S12" s="1156"/>
      <c r="T12" s="1156"/>
      <c r="U12" s="1156"/>
    </row>
    <row r="13" spans="1:21" s="157" customFormat="1">
      <c r="A13" s="327">
        <v>5</v>
      </c>
      <c r="B13" s="695"/>
      <c r="C13" s="696"/>
      <c r="D13" s="696"/>
      <c r="E13" s="696"/>
      <c r="F13" s="696"/>
      <c r="G13" s="696"/>
      <c r="H13" s="696"/>
      <c r="I13" s="731">
        <f>Tabla611[[#This Row],[m2
Puertas exteriores]]+Tabla611[[#This Row],[m2
Ventanas]]</f>
        <v>0</v>
      </c>
      <c r="J13" s="682"/>
      <c r="K13" s="682"/>
      <c r="L13" s="700"/>
      <c r="M13" s="83"/>
      <c r="O13" s="1156"/>
      <c r="P13" s="1156"/>
      <c r="Q13" s="1156"/>
      <c r="R13" s="1156"/>
      <c r="S13" s="1156"/>
      <c r="T13" s="1156"/>
      <c r="U13" s="1156"/>
    </row>
    <row r="14" spans="1:21" s="157" customFormat="1">
      <c r="A14" s="327">
        <v>6</v>
      </c>
      <c r="B14" s="695"/>
      <c r="C14" s="696"/>
      <c r="D14" s="696"/>
      <c r="E14" s="696"/>
      <c r="F14" s="696"/>
      <c r="G14" s="696"/>
      <c r="H14" s="696"/>
      <c r="I14" s="731">
        <f>Tabla611[[#This Row],[m2
Puertas exteriores]]+Tabla611[[#This Row],[m2
Ventanas]]</f>
        <v>0</v>
      </c>
      <c r="J14" s="682"/>
      <c r="K14" s="682"/>
      <c r="L14" s="700"/>
      <c r="M14" s="83"/>
      <c r="O14" s="1156"/>
      <c r="P14" s="1156"/>
      <c r="Q14" s="1156"/>
      <c r="R14" s="1156"/>
      <c r="S14" s="1156"/>
      <c r="T14" s="1156"/>
      <c r="U14" s="1156"/>
    </row>
    <row r="15" spans="1:21" s="157" customFormat="1">
      <c r="A15" s="327">
        <v>7</v>
      </c>
      <c r="B15" s="695"/>
      <c r="C15" s="696"/>
      <c r="D15" s="696"/>
      <c r="E15" s="696"/>
      <c r="F15" s="696"/>
      <c r="G15" s="696"/>
      <c r="H15" s="696"/>
      <c r="I15" s="731">
        <f>Tabla611[[#This Row],[m2
Puertas exteriores]]+Tabla611[[#This Row],[m2
Ventanas]]</f>
        <v>0</v>
      </c>
      <c r="J15" s="682"/>
      <c r="K15" s="682"/>
      <c r="L15" s="700"/>
      <c r="M15" s="83"/>
      <c r="O15" s="1156"/>
      <c r="P15" s="1156"/>
      <c r="Q15" s="1156"/>
      <c r="R15" s="1156"/>
      <c r="S15" s="1156"/>
      <c r="T15" s="1156"/>
      <c r="U15" s="1156"/>
    </row>
    <row r="16" spans="1:21" s="157" customFormat="1">
      <c r="A16" s="327">
        <v>8</v>
      </c>
      <c r="B16" s="695"/>
      <c r="C16" s="696"/>
      <c r="D16" s="696"/>
      <c r="E16" s="696"/>
      <c r="F16" s="696"/>
      <c r="G16" s="696"/>
      <c r="H16" s="696"/>
      <c r="I16" s="731">
        <f>Tabla611[[#This Row],[m2
Puertas exteriores]]+Tabla611[[#This Row],[m2
Ventanas]]</f>
        <v>0</v>
      </c>
      <c r="J16" s="682"/>
      <c r="K16" s="682"/>
      <c r="L16" s="700"/>
      <c r="M16" s="83"/>
      <c r="O16" s="1156"/>
      <c r="P16" s="1156"/>
      <c r="Q16" s="1156"/>
      <c r="R16" s="1156"/>
      <c r="S16" s="1156"/>
      <c r="T16" s="1156"/>
      <c r="U16" s="1156"/>
    </row>
    <row r="17" spans="1:21" s="157" customFormat="1">
      <c r="A17" s="327">
        <v>9</v>
      </c>
      <c r="B17" s="695"/>
      <c r="C17" s="696"/>
      <c r="D17" s="696"/>
      <c r="E17" s="696"/>
      <c r="F17" s="696"/>
      <c r="G17" s="696"/>
      <c r="H17" s="696"/>
      <c r="I17" s="731">
        <f>Tabla611[[#This Row],[m2
Puertas exteriores]]+Tabla611[[#This Row],[m2
Ventanas]]</f>
        <v>0</v>
      </c>
      <c r="J17" s="682"/>
      <c r="K17" s="682"/>
      <c r="L17" s="700"/>
      <c r="M17" s="83"/>
      <c r="O17" s="1156"/>
      <c r="P17" s="1156"/>
      <c r="Q17" s="1156"/>
      <c r="R17" s="1156"/>
      <c r="S17" s="1156"/>
      <c r="T17" s="1156"/>
      <c r="U17" s="1156"/>
    </row>
    <row r="18" spans="1:21" s="157" customFormat="1" ht="13.5" thickBot="1">
      <c r="A18" s="327">
        <v>10</v>
      </c>
      <c r="B18" s="698"/>
      <c r="C18" s="699"/>
      <c r="D18" s="699"/>
      <c r="E18" s="699"/>
      <c r="F18" s="699"/>
      <c r="G18" s="699"/>
      <c r="H18" s="699"/>
      <c r="I18" s="732">
        <f>Tabla611[[#This Row],[m2
Puertas exteriores]]+Tabla611[[#This Row],[m2
Ventanas]]</f>
        <v>0</v>
      </c>
      <c r="J18" s="682"/>
      <c r="K18" s="682"/>
      <c r="L18" s="700"/>
      <c r="M18" s="83"/>
      <c r="O18" s="1156"/>
      <c r="P18" s="1156"/>
      <c r="Q18" s="1156"/>
      <c r="R18" s="1156"/>
      <c r="S18" s="1156"/>
      <c r="T18" s="1156"/>
      <c r="U18" s="1156"/>
    </row>
    <row r="19" spans="1:21" s="157" customFormat="1">
      <c r="I19" s="325"/>
      <c r="J19" s="682"/>
      <c r="K19" s="682"/>
      <c r="L19" s="700"/>
      <c r="M19" s="83"/>
    </row>
    <row r="20" spans="1:21" s="157" customFormat="1" ht="13.5" customHeight="1">
      <c r="I20" s="325"/>
      <c r="J20" s="682"/>
      <c r="K20" s="682"/>
      <c r="L20" s="700"/>
      <c r="M20" s="83"/>
    </row>
    <row r="21" spans="1:21" s="157" customFormat="1">
      <c r="I21" s="325"/>
      <c r="J21" s="682"/>
      <c r="K21" s="682"/>
      <c r="L21" s="700"/>
      <c r="M21" s="83"/>
    </row>
    <row r="22" spans="1:21" s="157" customFormat="1">
      <c r="G22" s="325"/>
      <c r="I22" s="325"/>
      <c r="J22" s="682"/>
      <c r="K22" s="682"/>
      <c r="L22" s="700"/>
      <c r="M22" s="83"/>
    </row>
    <row r="23" spans="1:21" s="157" customFormat="1" ht="42.6" customHeight="1">
      <c r="B23" s="1159" t="s">
        <v>198</v>
      </c>
      <c r="C23" s="1159"/>
      <c r="D23" s="1159"/>
      <c r="E23" s="1159"/>
      <c r="F23" s="1159"/>
      <c r="G23" s="762" t="s">
        <v>199</v>
      </c>
      <c r="H23" s="761" t="s">
        <v>200</v>
      </c>
      <c r="I23" s="762" t="s">
        <v>177</v>
      </c>
      <c r="J23" s="682"/>
      <c r="K23" s="682"/>
      <c r="L23" s="700"/>
      <c r="M23" s="83"/>
    </row>
    <row r="24" spans="1:21" s="157" customFormat="1">
      <c r="B24" s="703">
        <v>1</v>
      </c>
      <c r="C24" s="1161">
        <f>B9</f>
        <v>0</v>
      </c>
      <c r="D24" s="1162"/>
      <c r="E24" s="1162"/>
      <c r="F24" s="1163"/>
      <c r="G24" s="660">
        <f>IFERROR($H$74,0)</f>
        <v>0</v>
      </c>
      <c r="H24" s="660">
        <f>IF($F$3="Estructura de madera",240,280)</f>
        <v>280</v>
      </c>
      <c r="I24" s="660" t="str">
        <f>IF(G24&gt;H24,"Cumple","No cumple")</f>
        <v>No cumple</v>
      </c>
      <c r="J24" s="682"/>
      <c r="K24" s="682"/>
      <c r="L24" s="700"/>
      <c r="M24" s="83"/>
    </row>
    <row r="25" spans="1:21" s="157" customFormat="1">
      <c r="B25" s="703">
        <v>2</v>
      </c>
      <c r="C25" s="1161">
        <f>B10</f>
        <v>0</v>
      </c>
      <c r="D25" s="1162"/>
      <c r="E25" s="1162"/>
      <c r="F25" s="1163"/>
      <c r="G25" s="660">
        <f>IFERROR($H$101,0)</f>
        <v>0</v>
      </c>
      <c r="H25" s="660">
        <f t="shared" ref="H25:H33" si="0">IF($F$3="Estructura de madera",240,280)</f>
        <v>280</v>
      </c>
      <c r="I25" s="660" t="str">
        <f t="shared" ref="I25:I33" si="1">IF(G25&gt;H25,"Cumple","No cumple")</f>
        <v>No cumple</v>
      </c>
      <c r="J25" s="682"/>
      <c r="K25" s="682"/>
      <c r="L25" s="700"/>
      <c r="M25" s="83"/>
    </row>
    <row r="26" spans="1:21" s="157" customFormat="1">
      <c r="B26" s="703">
        <v>3</v>
      </c>
      <c r="C26" s="1161">
        <f>B11</f>
        <v>0</v>
      </c>
      <c r="D26" s="1162"/>
      <c r="E26" s="1162"/>
      <c r="F26" s="1163"/>
      <c r="G26" s="660">
        <f>IFERROR($H$128,0)</f>
        <v>0</v>
      </c>
      <c r="H26" s="660">
        <f t="shared" si="0"/>
        <v>280</v>
      </c>
      <c r="I26" s="660" t="str">
        <f t="shared" si="1"/>
        <v>No cumple</v>
      </c>
      <c r="J26" s="682"/>
      <c r="K26" s="682"/>
      <c r="L26" s="700"/>
      <c r="M26" s="83"/>
    </row>
    <row r="27" spans="1:21" s="157" customFormat="1">
      <c r="B27" s="703">
        <v>4</v>
      </c>
      <c r="C27" s="1161">
        <f>B12</f>
        <v>0</v>
      </c>
      <c r="D27" s="1162"/>
      <c r="E27" s="1162"/>
      <c r="F27" s="1163"/>
      <c r="G27" s="660">
        <f>IFERROR($H$155,0)</f>
        <v>0</v>
      </c>
      <c r="H27" s="660">
        <f t="shared" si="0"/>
        <v>280</v>
      </c>
      <c r="I27" s="660" t="str">
        <f t="shared" si="1"/>
        <v>No cumple</v>
      </c>
      <c r="J27" s="682"/>
      <c r="K27" s="682"/>
      <c r="L27" s="700"/>
      <c r="M27" s="83"/>
    </row>
    <row r="28" spans="1:21" s="157" customFormat="1">
      <c r="B28" s="703">
        <v>5</v>
      </c>
      <c r="C28" s="1161">
        <f t="shared" ref="C28:C33" si="2">B13</f>
        <v>0</v>
      </c>
      <c r="D28" s="1162"/>
      <c r="E28" s="1162"/>
      <c r="F28" s="1163"/>
      <c r="G28" s="660">
        <f>IFERROR($H$182,0)</f>
        <v>0</v>
      </c>
      <c r="H28" s="660">
        <f t="shared" si="0"/>
        <v>280</v>
      </c>
      <c r="I28" s="660" t="str">
        <f t="shared" si="1"/>
        <v>No cumple</v>
      </c>
      <c r="J28" s="682"/>
      <c r="K28" s="682"/>
      <c r="L28" s="700"/>
      <c r="M28" s="83"/>
    </row>
    <row r="29" spans="1:21" s="157" customFormat="1">
      <c r="B29" s="703">
        <v>6</v>
      </c>
      <c r="C29" s="1161">
        <f t="shared" si="2"/>
        <v>0</v>
      </c>
      <c r="D29" s="1162"/>
      <c r="E29" s="1162"/>
      <c r="F29" s="1163"/>
      <c r="G29" s="660">
        <f>IFERROR($H$209,0)</f>
        <v>0</v>
      </c>
      <c r="H29" s="660">
        <f t="shared" si="0"/>
        <v>280</v>
      </c>
      <c r="I29" s="660" t="str">
        <f t="shared" si="1"/>
        <v>No cumple</v>
      </c>
      <c r="J29" s="682"/>
      <c r="K29" s="682"/>
      <c r="L29" s="700"/>
      <c r="M29" s="83"/>
    </row>
    <row r="30" spans="1:21" s="157" customFormat="1">
      <c r="B30" s="703">
        <v>7</v>
      </c>
      <c r="C30" s="1161">
        <f t="shared" si="2"/>
        <v>0</v>
      </c>
      <c r="D30" s="1162"/>
      <c r="E30" s="1162"/>
      <c r="F30" s="1163"/>
      <c r="G30" s="660">
        <f>IFERROR($H$236,0)</f>
        <v>0</v>
      </c>
      <c r="H30" s="660">
        <f t="shared" si="0"/>
        <v>280</v>
      </c>
      <c r="I30" s="660" t="str">
        <f t="shared" si="1"/>
        <v>No cumple</v>
      </c>
      <c r="J30" s="682"/>
      <c r="K30" s="682"/>
      <c r="L30" s="700"/>
      <c r="M30" s="83"/>
    </row>
    <row r="31" spans="1:21" s="157" customFormat="1">
      <c r="B31" s="703">
        <v>8</v>
      </c>
      <c r="C31" s="1161">
        <f t="shared" si="2"/>
        <v>0</v>
      </c>
      <c r="D31" s="1162"/>
      <c r="E31" s="1162"/>
      <c r="F31" s="1163"/>
      <c r="G31" s="660">
        <f>IFERROR($H$263,0)</f>
        <v>0</v>
      </c>
      <c r="H31" s="660">
        <f t="shared" si="0"/>
        <v>280</v>
      </c>
      <c r="I31" s="660" t="str">
        <f t="shared" si="1"/>
        <v>No cumple</v>
      </c>
      <c r="J31" s="682"/>
      <c r="K31" s="682"/>
      <c r="L31" s="700"/>
      <c r="M31" s="83"/>
    </row>
    <row r="32" spans="1:21" s="157" customFormat="1">
      <c r="B32" s="703">
        <v>9</v>
      </c>
      <c r="C32" s="1161">
        <f t="shared" si="2"/>
        <v>0</v>
      </c>
      <c r="D32" s="1162"/>
      <c r="E32" s="1162"/>
      <c r="F32" s="1163"/>
      <c r="G32" s="660">
        <f>IFERROR($H$290,0)</f>
        <v>0</v>
      </c>
      <c r="H32" s="660">
        <f t="shared" si="0"/>
        <v>280</v>
      </c>
      <c r="I32" s="660" t="str">
        <f t="shared" si="1"/>
        <v>No cumple</v>
      </c>
      <c r="J32" s="682"/>
      <c r="K32" s="682"/>
      <c r="L32" s="700"/>
      <c r="M32" s="83"/>
    </row>
    <row r="33" spans="2:25" s="157" customFormat="1">
      <c r="B33" s="703">
        <v>10</v>
      </c>
      <c r="C33" s="1161">
        <f t="shared" si="2"/>
        <v>0</v>
      </c>
      <c r="D33" s="1162"/>
      <c r="E33" s="1162"/>
      <c r="F33" s="1163"/>
      <c r="G33" s="660">
        <f>IFERROR($H$317,0)</f>
        <v>0</v>
      </c>
      <c r="H33" s="660">
        <f t="shared" si="0"/>
        <v>280</v>
      </c>
      <c r="I33" s="660" t="str">
        <f t="shared" si="1"/>
        <v>No cumple</v>
      </c>
      <c r="J33" s="682"/>
      <c r="K33" s="682"/>
      <c r="L33" s="701"/>
      <c r="M33" s="702"/>
    </row>
    <row r="34" spans="2:25">
      <c r="C34" s="335"/>
      <c r="D34" s="335"/>
      <c r="E34" s="335"/>
      <c r="J34" s="683"/>
      <c r="K34" s="683"/>
      <c r="L34" s="683"/>
      <c r="M34" s="683"/>
      <c r="N34" s="683"/>
      <c r="O34" s="683"/>
      <c r="P34" s="683"/>
      <c r="Q34" s="683"/>
    </row>
    <row r="35" spans="2:25" hidden="1">
      <c r="C35" s="335"/>
      <c r="D35" s="335"/>
      <c r="E35" s="335"/>
      <c r="J35" s="683"/>
      <c r="K35" s="683"/>
      <c r="L35" s="683"/>
      <c r="M35" s="683"/>
      <c r="N35" s="683"/>
      <c r="O35" s="683"/>
      <c r="P35" s="683"/>
      <c r="Q35" s="683"/>
    </row>
    <row r="36" spans="2:25" hidden="1">
      <c r="C36" s="335"/>
      <c r="D36" s="335"/>
      <c r="E36" s="335"/>
      <c r="J36" s="683"/>
      <c r="K36" s="683"/>
      <c r="L36" s="683"/>
      <c r="M36" s="683"/>
      <c r="N36" s="683"/>
      <c r="O36" s="683"/>
      <c r="P36" s="683"/>
      <c r="Q36" s="683"/>
    </row>
    <row r="37" spans="2:25" hidden="1">
      <c r="C37" s="335"/>
      <c r="D37" s="335"/>
      <c r="E37" s="335"/>
      <c r="J37" s="683"/>
      <c r="K37" s="683"/>
      <c r="L37" s="683"/>
      <c r="M37" s="683"/>
      <c r="N37" s="683"/>
      <c r="O37" s="683"/>
      <c r="P37" s="683"/>
      <c r="Q37" s="683"/>
    </row>
    <row r="38" spans="2:25" hidden="1">
      <c r="C38" s="335"/>
      <c r="D38" s="335"/>
      <c r="E38" s="335"/>
      <c r="J38" s="683"/>
      <c r="K38" s="683"/>
      <c r="L38" s="683"/>
      <c r="M38" s="683"/>
      <c r="N38" s="683"/>
      <c r="O38" s="683"/>
      <c r="P38" s="683"/>
      <c r="Q38" s="683"/>
    </row>
    <row r="39" spans="2:25" hidden="1">
      <c r="C39" s="335"/>
      <c r="D39" s="335"/>
      <c r="E39" s="335"/>
      <c r="J39" s="683"/>
      <c r="K39" s="683"/>
      <c r="L39" s="683"/>
      <c r="M39" s="683"/>
      <c r="N39" s="683"/>
      <c r="O39" s="683"/>
      <c r="P39" s="683"/>
      <c r="Q39" s="683"/>
    </row>
    <row r="40" spans="2:25" hidden="1">
      <c r="C40" s="335"/>
      <c r="D40" s="335"/>
      <c r="E40" s="335"/>
      <c r="J40" s="683"/>
      <c r="K40" s="683"/>
      <c r="L40" s="683"/>
      <c r="M40" s="683"/>
      <c r="N40" s="683"/>
      <c r="O40" s="683"/>
      <c r="P40" s="683"/>
      <c r="Q40" s="683"/>
    </row>
    <row r="41" spans="2:25" hidden="1">
      <c r="C41" s="335"/>
      <c r="D41" s="335"/>
      <c r="E41" s="335"/>
      <c r="J41" s="683"/>
      <c r="K41" s="683"/>
      <c r="L41" s="683"/>
      <c r="M41" s="683"/>
      <c r="N41" s="683"/>
      <c r="O41" s="683"/>
      <c r="P41" s="683"/>
      <c r="Q41" s="683"/>
    </row>
    <row r="42" spans="2:25">
      <c r="C42" s="335"/>
      <c r="D42" s="335"/>
      <c r="E42" s="335"/>
      <c r="J42" s="683"/>
      <c r="K42" s="683"/>
      <c r="L42" s="683"/>
      <c r="M42" s="683"/>
      <c r="N42" s="683"/>
      <c r="O42" s="683"/>
      <c r="P42" s="683"/>
      <c r="Q42" s="683"/>
    </row>
    <row r="43" spans="2:25" s="656" customFormat="1" ht="18.75">
      <c r="B43" s="657" t="s">
        <v>201</v>
      </c>
      <c r="C43" s="658"/>
      <c r="D43" s="658"/>
      <c r="E43" s="658"/>
      <c r="G43" s="659"/>
      <c r="I43" s="659"/>
      <c r="J43" s="344"/>
      <c r="K43" s="344"/>
      <c r="L43" s="659"/>
      <c r="M43" s="659"/>
    </row>
    <row r="44" spans="2:25">
      <c r="C44" s="684" t="s">
        <v>202</v>
      </c>
      <c r="D44" s="684"/>
      <c r="E44" s="685"/>
      <c r="J44" s="683"/>
      <c r="K44" s="683"/>
      <c r="L44" s="683"/>
      <c r="M44" s="683"/>
      <c r="N44" s="683"/>
      <c r="O44" s="683"/>
      <c r="P44" s="683"/>
      <c r="Q44" s="683"/>
    </row>
    <row r="45" spans="2:25" ht="25.5">
      <c r="B45" s="1139">
        <v>1</v>
      </c>
      <c r="C45" s="686" t="s">
        <v>203</v>
      </c>
      <c r="D45" s="686"/>
      <c r="E45" s="687" t="s">
        <v>204</v>
      </c>
      <c r="J45" s="683"/>
      <c r="K45" s="683"/>
      <c r="L45" s="683"/>
      <c r="M45" s="683"/>
      <c r="N45" s="683"/>
      <c r="O45" s="683"/>
      <c r="P45" s="683"/>
      <c r="Q45" s="683"/>
    </row>
    <row r="46" spans="2:25" ht="13.35" customHeight="1">
      <c r="B46" s="1140"/>
      <c r="C46" s="1128"/>
      <c r="D46" s="1129"/>
      <c r="E46" s="661"/>
      <c r="J46" s="683"/>
      <c r="K46" s="683"/>
      <c r="L46" s="1144" t="s">
        <v>205</v>
      </c>
      <c r="M46" s="1144"/>
      <c r="N46" s="705"/>
      <c r="O46" s="704"/>
      <c r="P46" s="704"/>
      <c r="Q46" s="704"/>
      <c r="R46" s="704"/>
      <c r="S46" s="704"/>
      <c r="T46" s="704"/>
      <c r="U46" s="704"/>
    </row>
    <row r="47" spans="2:25" ht="25.5" hidden="1">
      <c r="B47" s="688" t="s">
        <v>206</v>
      </c>
      <c r="C47" s="335"/>
      <c r="D47" s="335"/>
      <c r="E47" s="335"/>
      <c r="J47" s="683"/>
      <c r="K47" s="683"/>
      <c r="Y47" s="334" t="s">
        <v>207</v>
      </c>
    </row>
    <row r="48" spans="2:25" hidden="1">
      <c r="B48" s="688" t="s">
        <v>208</v>
      </c>
      <c r="J48" s="683"/>
      <c r="K48" s="683"/>
    </row>
    <row r="49" spans="2:31" hidden="1">
      <c r="B49" s="689" t="s">
        <v>209</v>
      </c>
      <c r="C49" s="662"/>
      <c r="D49" s="662"/>
      <c r="E49" s="662"/>
      <c r="J49" s="683"/>
      <c r="K49" s="683"/>
      <c r="M49" s="690"/>
    </row>
    <row r="50" spans="2:31" ht="25.5" hidden="1">
      <c r="B50" s="663" t="s">
        <v>210</v>
      </c>
      <c r="C50" s="663"/>
      <c r="D50" s="663"/>
      <c r="E50" s="663"/>
      <c r="J50" s="683"/>
      <c r="K50" s="683"/>
    </row>
    <row r="51" spans="2:31" hidden="1">
      <c r="B51" s="663" t="s">
        <v>211</v>
      </c>
      <c r="C51" s="663"/>
      <c r="D51" s="663"/>
      <c r="E51" s="663"/>
      <c r="J51" s="683"/>
      <c r="K51" s="683"/>
    </row>
    <row r="52" spans="2:31" ht="13.35" customHeight="1">
      <c r="B52" s="334"/>
      <c r="C52" s="334"/>
      <c r="D52" s="334"/>
      <c r="E52" s="334"/>
      <c r="J52" s="683"/>
      <c r="K52" s="683"/>
      <c r="L52" s="1144" t="s">
        <v>212</v>
      </c>
      <c r="M52" s="1144"/>
      <c r="N52" s="705"/>
      <c r="O52" s="704"/>
      <c r="P52" s="704"/>
      <c r="Q52" s="704"/>
      <c r="R52" s="704"/>
      <c r="S52" s="704"/>
      <c r="T52" s="704"/>
      <c r="U52" s="704"/>
    </row>
    <row r="53" spans="2:31" s="341" customFormat="1" ht="40.35" customHeight="1">
      <c r="B53" s="691" t="s">
        <v>66</v>
      </c>
      <c r="C53" s="1130" t="s">
        <v>213</v>
      </c>
      <c r="D53" s="1131"/>
      <c r="E53" s="1141" t="s">
        <v>214</v>
      </c>
      <c r="F53" s="1141"/>
      <c r="G53" s="1141"/>
      <c r="H53" s="1148" t="s">
        <v>215</v>
      </c>
      <c r="I53" s="1148"/>
      <c r="J53" s="683"/>
      <c r="K53" s="683"/>
    </row>
    <row r="54" spans="2:31" ht="62.1" customHeight="1">
      <c r="B54" s="664" t="s">
        <v>216</v>
      </c>
      <c r="C54" s="1142"/>
      <c r="D54" s="1143"/>
      <c r="E54" s="1149"/>
      <c r="F54" s="1149"/>
      <c r="G54" s="1149"/>
      <c r="H54" s="665" cm="1">
        <f t="array" ref="H54">IFERROR(_xlfn.IFS($C$54=Biblioteca.Minergie.Paquetes[[#Headers],[Biblioteca.Minergie.Paquetes]],VLOOKUP(E54,Tabla2[#All],2,0),$C$54=Biblioteca.Personal.Paquetes[[#Headers],[Biblioteca.Personal.Paquetes]],VLOOKUP(E54,Tabla510[#All],2,0)),0)</f>
        <v>0</v>
      </c>
      <c r="I54" s="666" t="s">
        <v>217</v>
      </c>
      <c r="J54" s="683"/>
      <c r="K54" s="683"/>
    </row>
    <row r="55" spans="2:31" ht="62.1" customHeight="1">
      <c r="B55" s="664" t="s">
        <v>218</v>
      </c>
      <c r="C55" s="1142"/>
      <c r="D55" s="1143"/>
      <c r="E55" s="1150"/>
      <c r="F55" s="1151"/>
      <c r="G55" s="1152"/>
      <c r="H55" s="665" cm="1">
        <f t="array" ref="H55">IFERROR(_xlfn.IFS($C$55=Biblioteca.Minergie.Paquetes[[#Headers],[Biblioteca.Minergie.Paquetes]],VLOOKUP(E55,Tabla2[#All],2,0),$C$55=Biblioteca.Personal.Paquetes[[#Headers],[Biblioteca.Personal.Paquetes]],VLOOKUP(E55,Tabla510[#All],2,0)),0)</f>
        <v>0</v>
      </c>
      <c r="I55" s="666" t="s">
        <v>217</v>
      </c>
      <c r="J55" s="683"/>
      <c r="K55" s="683"/>
    </row>
    <row r="56" spans="2:31" ht="62.1" customHeight="1">
      <c r="B56" s="673" t="s">
        <v>219</v>
      </c>
      <c r="C56" s="1142"/>
      <c r="D56" s="1143"/>
      <c r="E56" s="1150"/>
      <c r="F56" s="1151"/>
      <c r="G56" s="1152"/>
      <c r="H56" s="665" cm="1">
        <f t="array" ref="H56">IFERROR(_xlfn.IFS($C$56=Biblioteca.Minergie.Paquetes[[#Headers],[Biblioteca.Minergie.Paquetes]],VLOOKUP(E56,Tabla2[#All],2,0),$C$56=Biblioteca.Personal.Paquetes[[#Headers],[Biblioteca.Personal.Paquetes]],VLOOKUP(E56,Tabla510[#All],2,0)),0)</f>
        <v>0</v>
      </c>
      <c r="I56" s="666" t="s">
        <v>217</v>
      </c>
      <c r="J56" s="683"/>
      <c r="K56" s="683"/>
    </row>
    <row r="57" spans="2:31" ht="62.1" customHeight="1">
      <c r="B57" s="673" t="s">
        <v>220</v>
      </c>
      <c r="C57" s="1142"/>
      <c r="D57" s="1143"/>
      <c r="E57" s="1150"/>
      <c r="F57" s="1151"/>
      <c r="G57" s="1152"/>
      <c r="H57" s="665" cm="1">
        <f t="array" ref="H57">IFERROR(_xlfn.IFS($C$57=Biblioteca.Minergie.Paquetes[[#Headers],[Biblioteca.Minergie.Paquetes]],VLOOKUP(E57,Tabla2[#All],2,0),$C$57=Biblioteca.Personal.Paquetes[[#Headers],[Biblioteca.Personal.Paquetes]],VLOOKUP(E57,Tabla510[#All],2,0)),0)</f>
        <v>0</v>
      </c>
      <c r="I57" s="666" t="s">
        <v>217</v>
      </c>
      <c r="J57" s="683"/>
      <c r="K57" s="683"/>
    </row>
    <row r="58" spans="2:31" ht="62.1" customHeight="1">
      <c r="B58" s="673" t="s">
        <v>221</v>
      </c>
      <c r="C58" s="1142"/>
      <c r="D58" s="1143"/>
      <c r="E58" s="1150"/>
      <c r="F58" s="1151"/>
      <c r="G58" s="1152"/>
      <c r="H58" s="665" cm="1">
        <f t="array" ref="H58">IFERROR(_xlfn.IFS($C$58=Biblioteca.Minergie.Paquetes[[#Headers],[Biblioteca.Minergie.Paquetes]],VLOOKUP(E58,Tabla2[#All],2,0),$C$58=Biblioteca.Personal.Paquetes[[#Headers],[Biblioteca.Personal.Paquetes]],VLOOKUP(E58,Tabla510[#All],2,0)),0)</f>
        <v>0</v>
      </c>
      <c r="I58" s="666" t="s">
        <v>217</v>
      </c>
      <c r="J58" s="683"/>
      <c r="K58" s="683"/>
    </row>
    <row r="59" spans="2:31" ht="19.5" customHeight="1">
      <c r="B59" s="1136" t="s">
        <v>222</v>
      </c>
      <c r="C59" s="1136"/>
      <c r="D59" s="1136"/>
      <c r="E59" s="1136"/>
      <c r="F59" s="1136"/>
      <c r="G59" s="1136"/>
      <c r="J59" s="683"/>
      <c r="K59" s="683"/>
    </row>
    <row r="60" spans="2:31">
      <c r="J60" s="907"/>
      <c r="K60" s="907"/>
    </row>
    <row r="61" spans="2:31">
      <c r="B61" s="692" t="s">
        <v>223</v>
      </c>
      <c r="C61" s="692"/>
      <c r="D61" s="692"/>
      <c r="E61" s="692"/>
      <c r="F61" s="667"/>
      <c r="G61" s="668"/>
      <c r="H61" s="667"/>
      <c r="I61" s="668"/>
      <c r="J61" s="907"/>
      <c r="K61" s="907"/>
    </row>
    <row r="62" spans="2:31" s="335" customFormat="1" ht="13.35" customHeight="1">
      <c r="B62" s="1134" t="s">
        <v>224</v>
      </c>
      <c r="C62" s="1135"/>
      <c r="D62" s="904"/>
      <c r="E62" s="669"/>
      <c r="F62" s="669"/>
      <c r="G62" s="670"/>
      <c r="H62" s="671">
        <f>E46</f>
        <v>0</v>
      </c>
      <c r="I62" s="672" t="s">
        <v>6</v>
      </c>
      <c r="J62" s="907"/>
      <c r="K62" s="907"/>
      <c r="L62" s="1144" t="s">
        <v>225</v>
      </c>
      <c r="M62" s="1144"/>
      <c r="N62" s="705"/>
      <c r="O62" s="704"/>
      <c r="P62" s="704"/>
      <c r="Q62" s="704"/>
      <c r="R62" s="704"/>
      <c r="S62" s="704"/>
      <c r="T62" s="704"/>
      <c r="U62" s="704"/>
      <c r="V62" s="704"/>
      <c r="W62" s="333"/>
      <c r="X62" s="333"/>
      <c r="Y62" s="333"/>
      <c r="Z62" s="333"/>
      <c r="AA62" s="333"/>
      <c r="AB62" s="333"/>
      <c r="AC62" s="333"/>
      <c r="AD62" s="333"/>
      <c r="AE62" s="333"/>
    </row>
    <row r="63" spans="2:31" s="335" customFormat="1" ht="13.35" customHeight="1">
      <c r="B63" s="1134" t="s">
        <v>226</v>
      </c>
      <c r="C63" s="1135"/>
      <c r="D63" s="904"/>
      <c r="E63" s="669"/>
      <c r="F63" s="669"/>
      <c r="G63" s="670"/>
      <c r="H63" s="671">
        <f>E46</f>
        <v>0</v>
      </c>
      <c r="I63" s="672" t="s">
        <v>6</v>
      </c>
      <c r="J63" s="907"/>
      <c r="K63" s="907"/>
      <c r="L63" s="1144" t="s">
        <v>225</v>
      </c>
      <c r="M63" s="1144"/>
      <c r="N63" s="705"/>
      <c r="O63" s="704"/>
      <c r="P63" s="704"/>
      <c r="Q63" s="704"/>
      <c r="R63" s="704"/>
      <c r="S63" s="704"/>
      <c r="T63" s="704"/>
      <c r="U63" s="704"/>
      <c r="V63" s="704"/>
      <c r="W63" s="333"/>
      <c r="X63" s="333"/>
      <c r="Y63" s="333"/>
      <c r="Z63" s="333"/>
      <c r="AA63" s="333"/>
      <c r="AB63" s="333"/>
      <c r="AC63" s="333"/>
      <c r="AD63" s="333"/>
      <c r="AE63" s="333"/>
    </row>
    <row r="64" spans="2:31" s="335" customFormat="1" ht="13.35" customHeight="1">
      <c r="B64" s="1124" t="s">
        <v>227</v>
      </c>
      <c r="C64" s="1125"/>
      <c r="D64" s="905"/>
      <c r="E64" s="674"/>
      <c r="F64" s="669"/>
      <c r="G64" s="670"/>
      <c r="H64" s="675">
        <f>C9</f>
        <v>0</v>
      </c>
      <c r="I64" s="672" t="s">
        <v>6</v>
      </c>
      <c r="J64" s="907"/>
      <c r="K64" s="907"/>
      <c r="L64" s="1144" t="s">
        <v>228</v>
      </c>
      <c r="M64" s="1144"/>
      <c r="N64" s="1144"/>
      <c r="O64" s="704"/>
      <c r="P64" s="704"/>
      <c r="Q64" s="704"/>
      <c r="R64" s="704"/>
      <c r="S64" s="704"/>
      <c r="T64" s="704"/>
      <c r="U64" s="704"/>
      <c r="V64" s="704"/>
      <c r="W64" s="333"/>
      <c r="X64" s="333"/>
      <c r="Y64" s="333"/>
      <c r="Z64" s="333"/>
      <c r="AA64" s="333"/>
      <c r="AB64" s="333"/>
      <c r="AC64" s="333"/>
      <c r="AD64" s="333"/>
      <c r="AE64" s="333"/>
    </row>
    <row r="65" spans="2:31" s="335" customFormat="1" ht="13.35" customHeight="1">
      <c r="B65" s="1124" t="s">
        <v>229</v>
      </c>
      <c r="C65" s="1125"/>
      <c r="D65" s="905"/>
      <c r="E65" s="674"/>
      <c r="F65" s="669"/>
      <c r="G65" s="670"/>
      <c r="H65" s="675">
        <f>D9</f>
        <v>0</v>
      </c>
      <c r="I65" s="672" t="s">
        <v>6</v>
      </c>
      <c r="J65" s="907"/>
      <c r="K65" s="907"/>
      <c r="L65" s="888"/>
      <c r="M65" s="888"/>
      <c r="N65" s="888"/>
      <c r="O65" s="704"/>
      <c r="P65" s="704"/>
      <c r="Q65" s="704"/>
      <c r="R65" s="704"/>
      <c r="S65" s="704"/>
      <c r="T65" s="704"/>
      <c r="U65" s="704"/>
      <c r="V65" s="704"/>
      <c r="W65" s="333"/>
      <c r="X65" s="333"/>
      <c r="Y65" s="333"/>
      <c r="Z65" s="333"/>
      <c r="AA65" s="333"/>
      <c r="AB65" s="333"/>
      <c r="AC65" s="333"/>
      <c r="AD65" s="333"/>
      <c r="AE65" s="333"/>
    </row>
    <row r="66" spans="2:31" s="335" customFormat="1" ht="13.35" customHeight="1">
      <c r="B66" s="1134" t="s">
        <v>230</v>
      </c>
      <c r="C66" s="1135"/>
      <c r="D66" s="904"/>
      <c r="E66" s="669"/>
      <c r="F66" s="669"/>
      <c r="G66" s="670"/>
      <c r="H66" s="675">
        <f>IFERROR(VLOOKUP($C$46,Tabla611[#All],4,FALSE)-H9,0)</f>
        <v>0</v>
      </c>
      <c r="I66" s="672" t="s">
        <v>6</v>
      </c>
      <c r="J66" s="907"/>
      <c r="K66" s="907"/>
      <c r="L66" s="1144" t="s">
        <v>231</v>
      </c>
      <c r="M66" s="1144"/>
      <c r="N66" s="705"/>
      <c r="O66" s="704"/>
      <c r="P66" s="704"/>
      <c r="Q66" s="704"/>
      <c r="R66" s="704"/>
      <c r="S66" s="704"/>
      <c r="T66" s="704"/>
      <c r="U66" s="704"/>
      <c r="V66" s="704"/>
      <c r="W66" s="333"/>
      <c r="X66" s="333"/>
      <c r="Y66" s="333"/>
      <c r="Z66" s="333"/>
      <c r="AA66" s="333"/>
      <c r="AB66" s="333"/>
      <c r="AC66" s="333"/>
      <c r="AD66" s="333"/>
      <c r="AE66" s="333"/>
    </row>
    <row r="67" spans="2:31" s="335" customFormat="1" ht="13.15" customHeight="1">
      <c r="B67" s="1134" t="s">
        <v>232</v>
      </c>
      <c r="C67" s="1135"/>
      <c r="D67" s="904"/>
      <c r="E67" s="669"/>
      <c r="F67" s="669"/>
      <c r="G67" s="670"/>
      <c r="H67" s="671">
        <f>E46</f>
        <v>0</v>
      </c>
      <c r="I67" s="672" t="s">
        <v>6</v>
      </c>
      <c r="J67" s="907"/>
      <c r="K67" s="907"/>
      <c r="N67" s="333"/>
      <c r="O67" s="333"/>
      <c r="P67" s="333"/>
      <c r="Q67" s="333"/>
      <c r="R67" s="333"/>
      <c r="S67" s="333"/>
      <c r="T67" s="333"/>
      <c r="U67" s="333"/>
      <c r="V67" s="333"/>
      <c r="W67" s="333"/>
      <c r="X67" s="333"/>
      <c r="Y67" s="333"/>
      <c r="Z67" s="333"/>
      <c r="AA67" s="333"/>
      <c r="AB67" s="333"/>
      <c r="AC67" s="333"/>
      <c r="AD67" s="333"/>
      <c r="AE67" s="333"/>
    </row>
    <row r="68" spans="2:31" s="335" customFormat="1" ht="14.85" customHeight="1">
      <c r="B68" s="1134" t="s">
        <v>233</v>
      </c>
      <c r="C68" s="1135"/>
      <c r="D68" s="904"/>
      <c r="E68" s="669"/>
      <c r="F68" s="669"/>
      <c r="G68" s="670"/>
      <c r="H68" s="965">
        <f>H62+H63+H64+H65+H66</f>
        <v>0</v>
      </c>
      <c r="I68" s="672" t="s">
        <v>6</v>
      </c>
      <c r="J68" s="907"/>
      <c r="K68" s="907"/>
      <c r="L68" s="1145" t="s">
        <v>234</v>
      </c>
      <c r="M68" s="1145"/>
      <c r="N68" s="1145"/>
      <c r="O68" s="704"/>
      <c r="P68" s="704"/>
      <c r="Q68" s="704"/>
      <c r="R68" s="704"/>
      <c r="S68" s="704"/>
      <c r="T68" s="704"/>
      <c r="U68" s="704"/>
      <c r="V68" s="704"/>
      <c r="W68" s="333"/>
      <c r="X68" s="333"/>
      <c r="Y68" s="333"/>
      <c r="Z68" s="333"/>
      <c r="AA68" s="333"/>
      <c r="AB68" s="333"/>
      <c r="AC68" s="333"/>
      <c r="AD68" s="333"/>
      <c r="AE68" s="333"/>
    </row>
    <row r="69" spans="2:31" s="335" customFormat="1" ht="14.85" customHeight="1">
      <c r="B69" s="342"/>
      <c r="C69" s="342"/>
      <c r="D69" s="342"/>
      <c r="E69" s="333"/>
      <c r="F69" s="333"/>
      <c r="K69" s="683"/>
      <c r="L69" s="1145"/>
      <c r="M69" s="1145"/>
      <c r="N69" s="1145"/>
      <c r="O69" s="704"/>
      <c r="P69" s="704"/>
      <c r="Q69" s="704"/>
      <c r="R69" s="704"/>
      <c r="S69" s="704"/>
      <c r="T69" s="704"/>
      <c r="U69" s="704"/>
      <c r="V69" s="704"/>
      <c r="W69" s="333"/>
      <c r="X69" s="333"/>
      <c r="Y69" s="333"/>
      <c r="Z69" s="333"/>
      <c r="AA69" s="333"/>
      <c r="AB69" s="333"/>
      <c r="AC69" s="333"/>
      <c r="AD69" s="333"/>
      <c r="AE69" s="333"/>
    </row>
    <row r="70" spans="2:31">
      <c r="J70" s="683"/>
      <c r="K70" s="683"/>
      <c r="L70" s="1145"/>
      <c r="M70" s="1145"/>
      <c r="N70" s="1145"/>
      <c r="O70" s="704"/>
      <c r="P70" s="704"/>
      <c r="Q70" s="704"/>
      <c r="R70" s="704"/>
      <c r="S70" s="704"/>
      <c r="T70" s="704"/>
      <c r="U70" s="704"/>
      <c r="V70" s="704"/>
    </row>
    <row r="71" spans="2:31" s="335" customFormat="1">
      <c r="B71" s="692" t="s">
        <v>235</v>
      </c>
      <c r="C71" s="692"/>
      <c r="D71" s="692"/>
      <c r="E71" s="692"/>
      <c r="F71" s="667"/>
      <c r="G71" s="668"/>
      <c r="H71" s="667"/>
      <c r="I71" s="668"/>
      <c r="J71" s="683"/>
      <c r="K71" s="683"/>
      <c r="N71" s="333"/>
      <c r="O71" s="333"/>
      <c r="P71" s="333"/>
      <c r="Q71" s="333"/>
      <c r="R71" s="333"/>
      <c r="S71" s="333"/>
      <c r="T71" s="333"/>
      <c r="U71" s="333"/>
      <c r="V71" s="333"/>
      <c r="W71" s="333"/>
      <c r="X71" s="333"/>
      <c r="Y71" s="333"/>
      <c r="Z71" s="333"/>
      <c r="AA71" s="333"/>
      <c r="AB71" s="333"/>
      <c r="AC71" s="333"/>
      <c r="AD71" s="333"/>
      <c r="AE71" s="333"/>
    </row>
    <row r="72" spans="2:31" s="335" customFormat="1">
      <c r="B72" s="1134" t="s">
        <v>236</v>
      </c>
      <c r="C72" s="1135"/>
      <c r="D72" s="904"/>
      <c r="E72" s="669"/>
      <c r="F72" s="669"/>
      <c r="G72" s="670"/>
      <c r="H72" s="671">
        <f>H62*H54+H63*H55+H64*H56+H57*H65+H66*H58</f>
        <v>0</v>
      </c>
      <c r="I72" s="672" t="s">
        <v>237</v>
      </c>
      <c r="J72" s="683"/>
      <c r="K72" s="683"/>
      <c r="N72" s="333"/>
      <c r="O72" s="333"/>
      <c r="P72" s="333"/>
      <c r="Q72" s="333"/>
      <c r="R72" s="333"/>
      <c r="S72" s="333"/>
      <c r="T72" s="333"/>
      <c r="U72" s="333"/>
      <c r="V72" s="333"/>
      <c r="W72" s="333"/>
      <c r="X72" s="333"/>
      <c r="Y72" s="333"/>
      <c r="Z72" s="333"/>
      <c r="AA72" s="333"/>
      <c r="AB72" s="333"/>
      <c r="AC72" s="333"/>
      <c r="AD72" s="333"/>
      <c r="AE72" s="333"/>
    </row>
    <row r="73" spans="2:31" s="335" customFormat="1">
      <c r="B73" s="1134" t="s">
        <v>238</v>
      </c>
      <c r="C73" s="1135"/>
      <c r="D73" s="904"/>
      <c r="E73" s="669"/>
      <c r="F73" s="669"/>
      <c r="G73" s="670"/>
      <c r="H73" s="676">
        <f>IFERROR(H72/H68,0)</f>
        <v>0</v>
      </c>
      <c r="I73" s="672" t="s">
        <v>217</v>
      </c>
      <c r="J73" s="683"/>
      <c r="K73" s="683"/>
      <c r="N73" s="333"/>
      <c r="O73" s="333"/>
      <c r="P73" s="333"/>
      <c r="Q73" s="333"/>
      <c r="R73" s="333"/>
      <c r="S73" s="333"/>
      <c r="T73" s="333"/>
      <c r="U73" s="333"/>
      <c r="V73" s="333"/>
      <c r="W73" s="333"/>
      <c r="X73" s="333"/>
      <c r="Y73" s="333"/>
      <c r="Z73" s="333"/>
      <c r="AA73" s="333"/>
      <c r="AB73" s="333"/>
      <c r="AC73" s="333"/>
      <c r="AD73" s="333"/>
      <c r="AE73" s="333"/>
    </row>
    <row r="74" spans="2:31" s="335" customFormat="1" ht="14.85" customHeight="1">
      <c r="B74" s="1137" t="s">
        <v>239</v>
      </c>
      <c r="C74" s="1138"/>
      <c r="D74" s="906"/>
      <c r="E74" s="336"/>
      <c r="F74" s="336"/>
      <c r="G74" s="337"/>
      <c r="H74" s="338">
        <f>IFERROR(H72/H67,0)</f>
        <v>0</v>
      </c>
      <c r="I74" s="339" t="s">
        <v>217</v>
      </c>
      <c r="J74" s="683"/>
      <c r="K74" s="683"/>
      <c r="N74" s="333"/>
      <c r="O74" s="333"/>
      <c r="P74" s="333"/>
      <c r="Q74" s="333"/>
      <c r="R74" s="333"/>
      <c r="S74" s="333"/>
      <c r="T74" s="333"/>
      <c r="U74" s="333"/>
      <c r="V74" s="333"/>
      <c r="W74" s="333"/>
      <c r="X74" s="333"/>
      <c r="Y74" s="333"/>
      <c r="Z74" s="333"/>
      <c r="AA74" s="333"/>
      <c r="AB74" s="333"/>
      <c r="AC74" s="333"/>
      <c r="AD74" s="333"/>
      <c r="AE74" s="333"/>
    </row>
    <row r="75" spans="2:31" s="335" customFormat="1">
      <c r="B75" s="1134" t="s">
        <v>239</v>
      </c>
      <c r="C75" s="1135"/>
      <c r="D75" s="904"/>
      <c r="E75" s="669"/>
      <c r="F75" s="669"/>
      <c r="G75" s="670"/>
      <c r="H75" s="676">
        <f>H74/3.6</f>
        <v>0</v>
      </c>
      <c r="I75" s="672" t="s">
        <v>240</v>
      </c>
      <c r="J75" s="683"/>
      <c r="K75" s="683"/>
      <c r="N75" s="333"/>
      <c r="O75" s="333"/>
      <c r="P75" s="333"/>
      <c r="Q75" s="333"/>
      <c r="R75" s="333"/>
      <c r="S75" s="333"/>
      <c r="T75" s="333"/>
      <c r="U75" s="333"/>
      <c r="V75" s="333"/>
      <c r="W75" s="333"/>
      <c r="X75" s="333"/>
      <c r="Y75" s="333"/>
      <c r="Z75" s="333"/>
      <c r="AA75" s="333"/>
      <c r="AB75" s="333"/>
      <c r="AC75" s="333"/>
      <c r="AD75" s="333"/>
      <c r="AE75" s="333"/>
    </row>
    <row r="76" spans="2:31" s="335" customFormat="1">
      <c r="B76" s="677"/>
      <c r="C76" s="677"/>
      <c r="D76" s="677"/>
      <c r="E76" s="678"/>
      <c r="F76" s="678"/>
      <c r="G76" s="679"/>
      <c r="H76" s="680"/>
      <c r="I76" s="679"/>
      <c r="J76" s="683"/>
      <c r="K76" s="683"/>
      <c r="N76" s="333"/>
      <c r="O76" s="333"/>
      <c r="P76" s="333"/>
      <c r="Q76" s="333"/>
      <c r="R76" s="333"/>
      <c r="S76" s="333"/>
      <c r="T76" s="333"/>
      <c r="U76" s="333"/>
      <c r="V76" s="333"/>
      <c r="W76" s="333"/>
      <c r="X76" s="333"/>
      <c r="Y76" s="333"/>
      <c r="Z76" s="333"/>
      <c r="AA76" s="333"/>
      <c r="AB76" s="333"/>
      <c r="AC76" s="333"/>
      <c r="AD76" s="333"/>
      <c r="AE76" s="333"/>
    </row>
    <row r="77" spans="2:31" s="335" customFormat="1">
      <c r="B77" s="342"/>
      <c r="C77" s="342"/>
      <c r="D77" s="342"/>
      <c r="E77" s="333"/>
      <c r="F77" s="333"/>
      <c r="H77" s="681"/>
      <c r="J77" s="683"/>
      <c r="K77" s="683"/>
      <c r="N77" s="333"/>
      <c r="O77" s="333"/>
      <c r="P77" s="333"/>
      <c r="Q77" s="333"/>
      <c r="R77" s="333"/>
      <c r="S77" s="333"/>
      <c r="T77" s="333"/>
      <c r="U77" s="333"/>
      <c r="V77" s="333"/>
      <c r="W77" s="333"/>
      <c r="X77" s="333"/>
      <c r="Y77" s="333"/>
      <c r="Z77" s="333"/>
      <c r="AA77" s="333"/>
      <c r="AB77" s="333"/>
      <c r="AC77" s="333"/>
      <c r="AD77" s="333"/>
      <c r="AE77" s="333"/>
    </row>
    <row r="78" spans="2:31" ht="25.5">
      <c r="B78" s="1139">
        <v>2</v>
      </c>
      <c r="C78" s="686" t="s">
        <v>203</v>
      </c>
      <c r="D78" s="686"/>
      <c r="E78" s="966" t="s">
        <v>204</v>
      </c>
    </row>
    <row r="79" spans="2:31">
      <c r="B79" s="1140"/>
      <c r="C79" s="1128"/>
      <c r="D79" s="1129"/>
      <c r="E79" s="661"/>
    </row>
    <row r="80" spans="2:31">
      <c r="B80" s="334"/>
      <c r="C80" s="334"/>
      <c r="D80" s="334"/>
      <c r="E80" s="334"/>
    </row>
    <row r="81" spans="2:9" ht="45" customHeight="1">
      <c r="B81" s="691" t="s">
        <v>66</v>
      </c>
      <c r="C81" s="1130" t="s">
        <v>213</v>
      </c>
      <c r="D81" s="1131"/>
      <c r="E81" s="1141" t="s">
        <v>214</v>
      </c>
      <c r="F81" s="1141"/>
      <c r="G81" s="1141"/>
      <c r="H81" s="1148" t="s">
        <v>215</v>
      </c>
      <c r="I81" s="1148"/>
    </row>
    <row r="82" spans="2:9" ht="62.1" customHeight="1">
      <c r="B82" s="664" t="s">
        <v>216</v>
      </c>
      <c r="C82" s="1142"/>
      <c r="D82" s="1143"/>
      <c r="E82" s="1123"/>
      <c r="F82" s="1123"/>
      <c r="G82" s="1123"/>
      <c r="H82" s="665" cm="1">
        <f t="array" ref="H82">IFERROR(_xlfn.IFS($C$82=Biblioteca.Minergie.Paquetes[[#Headers],[Biblioteca.Minergie.Paquetes]],VLOOKUP(E82,Tabla2[#All],2,0),$C$82=Biblioteca.Personal.Paquetes[[#Headers],[Biblioteca.Personal.Paquetes]],VLOOKUP(E82,Tabla510[#All],2,0)),0)</f>
        <v>0</v>
      </c>
      <c r="I82" s="666" t="s">
        <v>217</v>
      </c>
    </row>
    <row r="83" spans="2:9" ht="62.1" customHeight="1">
      <c r="B83" s="664" t="s">
        <v>218</v>
      </c>
      <c r="C83" s="1132"/>
      <c r="D83" s="1133"/>
      <c r="E83" s="1123"/>
      <c r="F83" s="1123"/>
      <c r="G83" s="1123"/>
      <c r="H83" s="665" cm="1">
        <f t="array" ref="H83">IFERROR(_xlfn.IFS($C83=Biblioteca.Minergie.Paquetes[[#Headers],[Biblioteca.Minergie.Paquetes]],VLOOKUP(E83,Tabla2[#All],2,0),$C83=Biblioteca.Personal.Paquetes[[#Headers],[Biblioteca.Personal.Paquetes]],VLOOKUP(E83,Tabla510[#All],2,0)),0)</f>
        <v>0</v>
      </c>
      <c r="I83" s="666" t="s">
        <v>217</v>
      </c>
    </row>
    <row r="84" spans="2:9" ht="62.1" customHeight="1">
      <c r="B84" s="673" t="s">
        <v>219</v>
      </c>
      <c r="C84" s="1132"/>
      <c r="D84" s="1133"/>
      <c r="E84" s="1123"/>
      <c r="F84" s="1123"/>
      <c r="G84" s="1123"/>
      <c r="H84" s="665" cm="1">
        <f t="array" ref="H84">IFERROR(_xlfn.IFS($C84=Biblioteca.Minergie.Paquetes[[#Headers],[Biblioteca.Minergie.Paquetes]],VLOOKUP(E84,Tabla2[#All],2,0),$C84=Biblioteca.Personal.Paquetes[[#Headers],[Biblioteca.Personal.Paquetes]],VLOOKUP(E84,Tabla510[#All],2,0)),0)</f>
        <v>0</v>
      </c>
      <c r="I84" s="666" t="s">
        <v>217</v>
      </c>
    </row>
    <row r="85" spans="2:9" ht="62.1" customHeight="1">
      <c r="B85" s="673" t="s">
        <v>220</v>
      </c>
      <c r="C85" s="1132"/>
      <c r="D85" s="1133"/>
      <c r="E85" s="1123"/>
      <c r="F85" s="1123"/>
      <c r="G85" s="1123"/>
      <c r="H85" s="665" cm="1">
        <f t="array" ref="H85">IFERROR(_xlfn.IFS($C85=Biblioteca.Minergie.Paquetes[[#Headers],[Biblioteca.Minergie.Paquetes]],VLOOKUP(E85,Tabla2[#All],2,0),$C85=Biblioteca.Personal.Paquetes[[#Headers],[Biblioteca.Personal.Paquetes]],VLOOKUP(E85,Tabla510[#All],2,0)),0)</f>
        <v>0</v>
      </c>
      <c r="I85" s="666" t="s">
        <v>217</v>
      </c>
    </row>
    <row r="86" spans="2:9" ht="62.1" customHeight="1">
      <c r="B86" s="673" t="s">
        <v>221</v>
      </c>
      <c r="C86" s="1132"/>
      <c r="D86" s="1133"/>
      <c r="E86" s="1123"/>
      <c r="F86" s="1123"/>
      <c r="G86" s="1123"/>
      <c r="H86" s="665" cm="1">
        <f t="array" ref="H86">IFERROR(_xlfn.IFS($C86=Biblioteca.Minergie.Paquetes[[#Headers],[Biblioteca.Minergie.Paquetes]],VLOOKUP(E86,Tabla2[#All],2,0),$C86=Biblioteca.Personal.Paquetes[[#Headers],[Biblioteca.Personal.Paquetes]],VLOOKUP(E86,Tabla510[#All],2,0)),0)</f>
        <v>0</v>
      </c>
      <c r="I86" s="666" t="s">
        <v>217</v>
      </c>
    </row>
    <row r="87" spans="2:9" ht="32.65" customHeight="1">
      <c r="B87" s="1136" t="s">
        <v>222</v>
      </c>
      <c r="C87" s="1136"/>
      <c r="D87" s="1136"/>
      <c r="E87" s="1136"/>
      <c r="F87" s="1136"/>
      <c r="G87" s="1136"/>
    </row>
    <row r="89" spans="2:9">
      <c r="B89" s="692" t="s">
        <v>223</v>
      </c>
      <c r="C89" s="692"/>
      <c r="D89" s="692"/>
      <c r="E89" s="692"/>
      <c r="F89" s="667"/>
      <c r="G89" s="668"/>
      <c r="H89" s="667"/>
      <c r="I89" s="668"/>
    </row>
    <row r="90" spans="2:9">
      <c r="B90" s="1134" t="s">
        <v>224</v>
      </c>
      <c r="C90" s="1135"/>
      <c r="D90" s="904"/>
      <c r="E90" s="669"/>
      <c r="F90" s="669"/>
      <c r="G90" s="670"/>
      <c r="H90" s="671">
        <f>E79</f>
        <v>0</v>
      </c>
      <c r="I90" s="672" t="s">
        <v>6</v>
      </c>
    </row>
    <row r="91" spans="2:9">
      <c r="B91" s="1134" t="s">
        <v>226</v>
      </c>
      <c r="C91" s="1135"/>
      <c r="D91" s="904"/>
      <c r="E91" s="669"/>
      <c r="F91" s="669"/>
      <c r="G91" s="670"/>
      <c r="H91" s="671">
        <f>E79</f>
        <v>0</v>
      </c>
      <c r="I91" s="672" t="s">
        <v>6</v>
      </c>
    </row>
    <row r="92" spans="2:9" ht="12.6" customHeight="1">
      <c r="B92" s="1124" t="s">
        <v>227</v>
      </c>
      <c r="C92" s="1125"/>
      <c r="D92" s="905"/>
      <c r="E92" s="674"/>
      <c r="F92" s="669"/>
      <c r="G92" s="670"/>
      <c r="H92" s="675">
        <f>C10</f>
        <v>0</v>
      </c>
      <c r="I92" s="672" t="s">
        <v>6</v>
      </c>
    </row>
    <row r="93" spans="2:9">
      <c r="B93" s="1124" t="s">
        <v>229</v>
      </c>
      <c r="C93" s="1125"/>
      <c r="D93" s="905"/>
      <c r="E93" s="674"/>
      <c r="F93" s="669"/>
      <c r="G93" s="670"/>
      <c r="H93" s="675">
        <f>D10</f>
        <v>0</v>
      </c>
      <c r="I93" s="672" t="s">
        <v>6</v>
      </c>
    </row>
    <row r="94" spans="2:9">
      <c r="B94" s="1134" t="s">
        <v>230</v>
      </c>
      <c r="C94" s="1135"/>
      <c r="D94" s="904"/>
      <c r="E94" s="669"/>
      <c r="F94" s="669"/>
      <c r="G94" s="670"/>
      <c r="H94" s="675">
        <f>IFERROR(VLOOKUP($C$79,Tabla611[#All],4,FALSE)-H37,0)</f>
        <v>0</v>
      </c>
      <c r="I94" s="672" t="s">
        <v>6</v>
      </c>
    </row>
    <row r="95" spans="2:9">
      <c r="B95" s="1134" t="s">
        <v>232</v>
      </c>
      <c r="C95" s="1135"/>
      <c r="D95" s="904"/>
      <c r="E95" s="669"/>
      <c r="F95" s="669"/>
      <c r="G95" s="670"/>
      <c r="H95" s="671">
        <f>E79</f>
        <v>0</v>
      </c>
      <c r="I95" s="672" t="s">
        <v>6</v>
      </c>
    </row>
    <row r="96" spans="2:9">
      <c r="B96" s="1134" t="s">
        <v>233</v>
      </c>
      <c r="C96" s="1135"/>
      <c r="D96" s="904"/>
      <c r="E96" s="669"/>
      <c r="F96" s="669"/>
      <c r="G96" s="670"/>
      <c r="H96" s="965">
        <f>H90+H91+H92+H93+H94</f>
        <v>0</v>
      </c>
      <c r="I96" s="672" t="s">
        <v>6</v>
      </c>
    </row>
    <row r="98" spans="2:9">
      <c r="B98" s="692" t="s">
        <v>235</v>
      </c>
      <c r="C98" s="692"/>
      <c r="D98" s="692"/>
      <c r="E98" s="692"/>
      <c r="F98" s="667"/>
      <c r="G98" s="668"/>
      <c r="H98" s="667"/>
      <c r="I98" s="668"/>
    </row>
    <row r="99" spans="2:9">
      <c r="B99" s="1134" t="s">
        <v>236</v>
      </c>
      <c r="C99" s="1135"/>
      <c r="D99" s="904"/>
      <c r="E99" s="669"/>
      <c r="F99" s="669"/>
      <c r="G99" s="670"/>
      <c r="H99" s="671">
        <f>H90*H82+H91*H83+H92*H84+H85*H93+H94*H86</f>
        <v>0</v>
      </c>
      <c r="I99" s="672" t="s">
        <v>237</v>
      </c>
    </row>
    <row r="100" spans="2:9">
      <c r="B100" s="1134" t="s">
        <v>238</v>
      </c>
      <c r="C100" s="1135"/>
      <c r="D100" s="904"/>
      <c r="E100" s="669"/>
      <c r="F100" s="669"/>
      <c r="G100" s="670"/>
      <c r="H100" s="676">
        <f>IFERROR(H99/H96,0)</f>
        <v>0</v>
      </c>
      <c r="I100" s="672" t="s">
        <v>217</v>
      </c>
    </row>
    <row r="101" spans="2:9">
      <c r="B101" s="1137" t="s">
        <v>239</v>
      </c>
      <c r="C101" s="1138"/>
      <c r="D101" s="906"/>
      <c r="E101" s="336"/>
      <c r="F101" s="336"/>
      <c r="G101" s="337"/>
      <c r="H101" s="338">
        <f>IFERROR(H99/H95,0)</f>
        <v>0</v>
      </c>
      <c r="I101" s="339" t="s">
        <v>217</v>
      </c>
    </row>
    <row r="102" spans="2:9">
      <c r="B102" s="1134" t="s">
        <v>239</v>
      </c>
      <c r="C102" s="1135"/>
      <c r="D102" s="904"/>
      <c r="E102" s="669"/>
      <c r="F102" s="669"/>
      <c r="G102" s="670"/>
      <c r="H102" s="676">
        <f>H101/3.6</f>
        <v>0</v>
      </c>
      <c r="I102" s="672" t="s">
        <v>240</v>
      </c>
    </row>
    <row r="105" spans="2:9" ht="25.5">
      <c r="B105" s="1139">
        <v>3</v>
      </c>
      <c r="C105" s="686" t="s">
        <v>203</v>
      </c>
      <c r="D105" s="686"/>
      <c r="E105" s="687" t="s">
        <v>204</v>
      </c>
    </row>
    <row r="106" spans="2:9">
      <c r="B106" s="1140"/>
      <c r="C106" s="1128"/>
      <c r="D106" s="1129"/>
      <c r="E106" s="661"/>
    </row>
    <row r="107" spans="2:9">
      <c r="B107" s="334"/>
      <c r="C107" s="334"/>
      <c r="D107" s="334"/>
      <c r="E107" s="334"/>
    </row>
    <row r="108" spans="2:9" ht="45" customHeight="1">
      <c r="B108" s="691" t="s">
        <v>66</v>
      </c>
      <c r="C108" s="1130" t="s">
        <v>213</v>
      </c>
      <c r="D108" s="1131"/>
      <c r="E108" s="1141" t="s">
        <v>214</v>
      </c>
      <c r="F108" s="1141"/>
      <c r="G108" s="1141"/>
      <c r="H108" s="1148" t="s">
        <v>215</v>
      </c>
      <c r="I108" s="1148"/>
    </row>
    <row r="109" spans="2:9" ht="62.1" customHeight="1">
      <c r="B109" s="664" t="s">
        <v>216</v>
      </c>
      <c r="C109" s="1132"/>
      <c r="D109" s="1133"/>
      <c r="E109" s="1123"/>
      <c r="F109" s="1123"/>
      <c r="G109" s="1123"/>
      <c r="H109" s="665" cm="1">
        <f t="array" ref="H109">IFERROR(_xlfn.IFS($C109=Biblioteca.Minergie.Paquetes[[#Headers],[Biblioteca.Minergie.Paquetes]],VLOOKUP(E109,Tabla2[#All],2,0),$C109=Biblioteca.Personal.Paquetes[[#Headers],[Biblioteca.Personal.Paquetes]],VLOOKUP(E109,Tabla510[#All],2,0)),0)</f>
        <v>0</v>
      </c>
      <c r="I109" s="666" t="s">
        <v>217</v>
      </c>
    </row>
    <row r="110" spans="2:9" ht="62.1" customHeight="1">
      <c r="B110" s="664" t="s">
        <v>218</v>
      </c>
      <c r="C110" s="1132"/>
      <c r="D110" s="1133"/>
      <c r="E110" s="1123"/>
      <c r="F110" s="1123"/>
      <c r="G110" s="1123"/>
      <c r="H110" s="665" cm="1">
        <f t="array" ref="H110">IFERROR(_xlfn.IFS($C110=Biblioteca.Minergie.Paquetes[[#Headers],[Biblioteca.Minergie.Paquetes]],VLOOKUP(E110,Tabla2[#All],2,0),$C110=Biblioteca.Personal.Paquetes[[#Headers],[Biblioteca.Personal.Paquetes]],VLOOKUP(E110,Tabla510[#All],2,0)),0)</f>
        <v>0</v>
      </c>
      <c r="I110" s="666" t="s">
        <v>217</v>
      </c>
    </row>
    <row r="111" spans="2:9" ht="62.1" customHeight="1">
      <c r="B111" s="673" t="s">
        <v>219</v>
      </c>
      <c r="C111" s="1132"/>
      <c r="D111" s="1133"/>
      <c r="E111" s="1123"/>
      <c r="F111" s="1123"/>
      <c r="G111" s="1123"/>
      <c r="H111" s="665" cm="1">
        <f t="array" ref="H111">IFERROR(_xlfn.IFS($C111=Biblioteca.Minergie.Paquetes[[#Headers],[Biblioteca.Minergie.Paquetes]],VLOOKUP(E111,Tabla2[#All],2,0),$C111=Biblioteca.Personal.Paquetes[[#Headers],[Biblioteca.Personal.Paquetes]],VLOOKUP(E111,Tabla510[#All],2,0)),0)</f>
        <v>0</v>
      </c>
      <c r="I111" s="666" t="s">
        <v>217</v>
      </c>
    </row>
    <row r="112" spans="2:9" ht="62.1" customHeight="1">
      <c r="B112" s="673" t="s">
        <v>220</v>
      </c>
      <c r="C112" s="1132"/>
      <c r="D112" s="1133"/>
      <c r="E112" s="1123"/>
      <c r="F112" s="1123"/>
      <c r="G112" s="1123"/>
      <c r="H112" s="665" cm="1">
        <f t="array" ref="H112">IFERROR(_xlfn.IFS($C112=Biblioteca.Minergie.Paquetes[[#Headers],[Biblioteca.Minergie.Paquetes]],VLOOKUP(E112,Tabla2[#All],2,0),$C112=Biblioteca.Personal.Paquetes[[#Headers],[Biblioteca.Personal.Paquetes]],VLOOKUP(E112,Tabla510[#All],2,0)),0)</f>
        <v>0</v>
      </c>
      <c r="I112" s="666" t="s">
        <v>217</v>
      </c>
    </row>
    <row r="113" spans="2:9" ht="62.1" customHeight="1">
      <c r="B113" s="673" t="s">
        <v>221</v>
      </c>
      <c r="C113" s="1132"/>
      <c r="D113" s="1133"/>
      <c r="E113" s="1123"/>
      <c r="F113" s="1123"/>
      <c r="G113" s="1123"/>
      <c r="H113" s="665" cm="1">
        <f t="array" ref="H113">IFERROR(_xlfn.IFS($C113=Biblioteca.Minergie.Paquetes[[#Headers],[Biblioteca.Minergie.Paquetes]],VLOOKUP(E113,Tabla2[#All],2,0),$C113=Biblioteca.Personal.Paquetes[[#Headers],[Biblioteca.Personal.Paquetes]],VLOOKUP(E113,Tabla510[#All],2,0)),0)</f>
        <v>0</v>
      </c>
      <c r="I113" s="666" t="s">
        <v>217</v>
      </c>
    </row>
    <row r="114" spans="2:9" ht="27.6" customHeight="1">
      <c r="B114" s="1136" t="s">
        <v>222</v>
      </c>
      <c r="C114" s="1136"/>
      <c r="D114" s="1136"/>
      <c r="E114" s="1136"/>
      <c r="F114" s="1136"/>
      <c r="G114" s="1136"/>
    </row>
    <row r="116" spans="2:9">
      <c r="B116" s="692" t="s">
        <v>223</v>
      </c>
      <c r="C116" s="692"/>
      <c r="D116" s="692"/>
      <c r="E116" s="692"/>
      <c r="F116" s="667"/>
      <c r="G116" s="668"/>
      <c r="H116" s="667"/>
      <c r="I116" s="668"/>
    </row>
    <row r="117" spans="2:9">
      <c r="B117" s="1134" t="s">
        <v>224</v>
      </c>
      <c r="C117" s="1135"/>
      <c r="D117" s="904"/>
      <c r="E117" s="669"/>
      <c r="F117" s="669"/>
      <c r="G117" s="670"/>
      <c r="H117" s="671">
        <f>E106</f>
        <v>0</v>
      </c>
      <c r="I117" s="672" t="s">
        <v>6</v>
      </c>
    </row>
    <row r="118" spans="2:9">
      <c r="B118" s="1134" t="s">
        <v>226</v>
      </c>
      <c r="C118" s="1135"/>
      <c r="D118" s="904"/>
      <c r="E118" s="669"/>
      <c r="F118" s="669"/>
      <c r="G118" s="670"/>
      <c r="H118" s="671">
        <f>E106</f>
        <v>0</v>
      </c>
      <c r="I118" s="672" t="s">
        <v>6</v>
      </c>
    </row>
    <row r="119" spans="2:9" ht="12.6" customHeight="1">
      <c r="B119" s="1124" t="s">
        <v>227</v>
      </c>
      <c r="C119" s="1125"/>
      <c r="D119" s="905"/>
      <c r="E119" s="674"/>
      <c r="F119" s="669"/>
      <c r="G119" s="670"/>
      <c r="H119" s="675">
        <f>C11</f>
        <v>0</v>
      </c>
      <c r="I119" s="672" t="s">
        <v>6</v>
      </c>
    </row>
    <row r="120" spans="2:9">
      <c r="B120" s="1124" t="s">
        <v>229</v>
      </c>
      <c r="C120" s="1125"/>
      <c r="D120" s="905"/>
      <c r="E120" s="674"/>
      <c r="F120" s="669"/>
      <c r="G120" s="670"/>
      <c r="H120" s="675">
        <f>D11</f>
        <v>0</v>
      </c>
      <c r="I120" s="672" t="s">
        <v>6</v>
      </c>
    </row>
    <row r="121" spans="2:9">
      <c r="B121" s="1134" t="s">
        <v>230</v>
      </c>
      <c r="C121" s="1135"/>
      <c r="D121" s="904"/>
      <c r="E121" s="669"/>
      <c r="F121" s="669"/>
      <c r="G121" s="670"/>
      <c r="H121" s="675">
        <f>IFERROR(VLOOKUP($C$106,Tabla611[#All],4,FALSE)-H11,0)</f>
        <v>0</v>
      </c>
      <c r="I121" s="672" t="s">
        <v>6</v>
      </c>
    </row>
    <row r="122" spans="2:9">
      <c r="B122" s="1134" t="s">
        <v>232</v>
      </c>
      <c r="C122" s="1135"/>
      <c r="D122" s="904"/>
      <c r="E122" s="669"/>
      <c r="F122" s="669"/>
      <c r="G122" s="670"/>
      <c r="H122" s="671">
        <f>E106</f>
        <v>0</v>
      </c>
      <c r="I122" s="672" t="s">
        <v>6</v>
      </c>
    </row>
    <row r="123" spans="2:9">
      <c r="B123" s="1134" t="s">
        <v>233</v>
      </c>
      <c r="C123" s="1135"/>
      <c r="D123" s="904"/>
      <c r="E123" s="669"/>
      <c r="F123" s="669"/>
      <c r="G123" s="670"/>
      <c r="H123" s="965">
        <f>H117+H118+H119+H120+H121</f>
        <v>0</v>
      </c>
      <c r="I123" s="672" t="s">
        <v>6</v>
      </c>
    </row>
    <row r="125" spans="2:9">
      <c r="B125" s="692" t="s">
        <v>235</v>
      </c>
      <c r="C125" s="692"/>
      <c r="D125" s="692"/>
      <c r="E125" s="692"/>
      <c r="F125" s="667"/>
      <c r="G125" s="668"/>
      <c r="H125" s="667"/>
      <c r="I125" s="668"/>
    </row>
    <row r="126" spans="2:9">
      <c r="B126" s="1134" t="s">
        <v>236</v>
      </c>
      <c r="C126" s="1135"/>
      <c r="D126" s="904"/>
      <c r="E126" s="669"/>
      <c r="F126" s="669"/>
      <c r="G126" s="670"/>
      <c r="H126" s="671">
        <f>H117*H109+H118*H110+H119*H111+H112*H120+H121*H113</f>
        <v>0</v>
      </c>
      <c r="I126" s="672" t="s">
        <v>237</v>
      </c>
    </row>
    <row r="127" spans="2:9">
      <c r="B127" s="1134" t="s">
        <v>238</v>
      </c>
      <c r="C127" s="1135"/>
      <c r="D127" s="904"/>
      <c r="E127" s="669"/>
      <c r="F127" s="669"/>
      <c r="G127" s="670"/>
      <c r="H127" s="676">
        <f>IFERROR(H126/H123,0)</f>
        <v>0</v>
      </c>
      <c r="I127" s="672" t="s">
        <v>217</v>
      </c>
    </row>
    <row r="128" spans="2:9">
      <c r="B128" s="1137" t="s">
        <v>239</v>
      </c>
      <c r="C128" s="1138"/>
      <c r="D128" s="906"/>
      <c r="E128" s="336"/>
      <c r="F128" s="336"/>
      <c r="G128" s="337"/>
      <c r="H128" s="338">
        <f>IFERROR(H126/H122,0)</f>
        <v>0</v>
      </c>
      <c r="I128" s="339" t="s">
        <v>217</v>
      </c>
    </row>
    <row r="129" spans="2:9">
      <c r="B129" s="1134" t="s">
        <v>239</v>
      </c>
      <c r="C129" s="1135"/>
      <c r="D129" s="904"/>
      <c r="E129" s="669"/>
      <c r="F129" s="669"/>
      <c r="G129" s="670"/>
      <c r="H129" s="676">
        <f>H128/3.6</f>
        <v>0</v>
      </c>
      <c r="I129" s="672" t="s">
        <v>240</v>
      </c>
    </row>
    <row r="132" spans="2:9" ht="25.5">
      <c r="B132" s="1139">
        <v>4</v>
      </c>
      <c r="C132" s="1126" t="s">
        <v>203</v>
      </c>
      <c r="D132" s="1127"/>
      <c r="E132" s="687" t="s">
        <v>204</v>
      </c>
    </row>
    <row r="133" spans="2:9">
      <c r="B133" s="1140"/>
      <c r="C133" s="1128"/>
      <c r="D133" s="1129"/>
      <c r="E133" s="661"/>
    </row>
    <row r="134" spans="2:9">
      <c r="B134" s="334"/>
      <c r="C134" s="334"/>
      <c r="D134" s="334"/>
      <c r="E134" s="334"/>
    </row>
    <row r="135" spans="2:9" ht="45" customHeight="1">
      <c r="B135" s="691" t="s">
        <v>66</v>
      </c>
      <c r="C135" s="1130" t="s">
        <v>213</v>
      </c>
      <c r="D135" s="1131"/>
      <c r="E135" s="1141" t="s">
        <v>214</v>
      </c>
      <c r="F135" s="1141"/>
      <c r="G135" s="1141"/>
      <c r="H135" s="1148" t="s">
        <v>215</v>
      </c>
      <c r="I135" s="1148"/>
    </row>
    <row r="136" spans="2:9" ht="65.099999999999994" customHeight="1">
      <c r="B136" s="664" t="s">
        <v>216</v>
      </c>
      <c r="C136" s="1132"/>
      <c r="D136" s="1133"/>
      <c r="E136" s="1123"/>
      <c r="F136" s="1123"/>
      <c r="G136" s="1123"/>
      <c r="H136" s="665" cm="1">
        <f t="array" ref="H136">IFERROR(_xlfn.IFS($C136=Biblioteca.Minergie.Paquetes[[#Headers],[Biblioteca.Minergie.Paquetes]],VLOOKUP(E136,Tabla2[#All],2,0),$C136=Biblioteca.Personal.Paquetes[[#Headers],[Biblioteca.Personal.Paquetes]],VLOOKUP(E136,Tabla510[#All],2,0)),0)</f>
        <v>0</v>
      </c>
      <c r="I136" s="666" t="s">
        <v>217</v>
      </c>
    </row>
    <row r="137" spans="2:9" ht="65.099999999999994" customHeight="1">
      <c r="B137" s="664" t="s">
        <v>218</v>
      </c>
      <c r="C137" s="1132"/>
      <c r="D137" s="1133"/>
      <c r="E137" s="1123"/>
      <c r="F137" s="1123"/>
      <c r="G137" s="1123"/>
      <c r="H137" s="665" cm="1">
        <f t="array" ref="H137">IFERROR(_xlfn.IFS($C137=Biblioteca.Minergie.Paquetes[[#Headers],[Biblioteca.Minergie.Paquetes]],VLOOKUP(E137,Tabla2[#All],2,0),$C137=Biblioteca.Personal.Paquetes[[#Headers],[Biblioteca.Personal.Paquetes]],VLOOKUP(E137,Tabla510[#All],2,0)),0)</f>
        <v>0</v>
      </c>
      <c r="I137" s="666" t="s">
        <v>217</v>
      </c>
    </row>
    <row r="138" spans="2:9" ht="65.099999999999994" customHeight="1">
      <c r="B138" s="673" t="s">
        <v>219</v>
      </c>
      <c r="C138" s="1132"/>
      <c r="D138" s="1133"/>
      <c r="E138" s="1123"/>
      <c r="F138" s="1123"/>
      <c r="G138" s="1123"/>
      <c r="H138" s="665" cm="1">
        <f t="array" ref="H138">IFERROR(_xlfn.IFS($C138=Biblioteca.Minergie.Paquetes[[#Headers],[Biblioteca.Minergie.Paquetes]],VLOOKUP(E138,Tabla2[#All],2,0),$C138=Biblioteca.Personal.Paquetes[[#Headers],[Biblioteca.Personal.Paquetes]],VLOOKUP(E138,Tabla510[#All],2,0)),0)</f>
        <v>0</v>
      </c>
      <c r="I138" s="666" t="s">
        <v>217</v>
      </c>
    </row>
    <row r="139" spans="2:9" ht="65.099999999999994" customHeight="1">
      <c r="B139" s="673" t="s">
        <v>220</v>
      </c>
      <c r="C139" s="1132"/>
      <c r="D139" s="1133"/>
      <c r="E139" s="1123"/>
      <c r="F139" s="1123"/>
      <c r="G139" s="1123"/>
      <c r="H139" s="665" cm="1">
        <f t="array" ref="H139">IFERROR(_xlfn.IFS($C139=Biblioteca.Minergie.Paquetes[[#Headers],[Biblioteca.Minergie.Paquetes]],VLOOKUP(E139,Tabla2[#All],2,0),$C139=Biblioteca.Personal.Paquetes[[#Headers],[Biblioteca.Personal.Paquetes]],VLOOKUP(E139,Tabla510[#All],2,0)),0)</f>
        <v>0</v>
      </c>
      <c r="I139" s="666" t="s">
        <v>217</v>
      </c>
    </row>
    <row r="140" spans="2:9" ht="65.099999999999994" customHeight="1">
      <c r="B140" s="673" t="s">
        <v>221</v>
      </c>
      <c r="C140" s="1132"/>
      <c r="D140" s="1133"/>
      <c r="E140" s="1123"/>
      <c r="F140" s="1123"/>
      <c r="G140" s="1123"/>
      <c r="H140" s="665" cm="1">
        <f t="array" ref="H140">IFERROR(_xlfn.IFS($C140=Biblioteca.Minergie.Paquetes[[#Headers],[Biblioteca.Minergie.Paquetes]],VLOOKUP(E140,Tabla2[#All],2,0),$C140=Biblioteca.Personal.Paquetes[[#Headers],[Biblioteca.Personal.Paquetes]],VLOOKUP(E140,Tabla510[#All],2,0)),0)</f>
        <v>0</v>
      </c>
      <c r="I140" s="666" t="s">
        <v>217</v>
      </c>
    </row>
    <row r="141" spans="2:9" ht="27.6" customHeight="1">
      <c r="B141" s="1136" t="s">
        <v>222</v>
      </c>
      <c r="C141" s="1136"/>
      <c r="D141" s="1136"/>
      <c r="E141" s="1136"/>
      <c r="F141" s="1136"/>
      <c r="G141" s="1136"/>
    </row>
    <row r="143" spans="2:9">
      <c r="B143" s="692" t="s">
        <v>223</v>
      </c>
      <c r="C143" s="692"/>
      <c r="D143" s="692"/>
      <c r="E143" s="692"/>
      <c r="F143" s="667"/>
      <c r="G143" s="668"/>
      <c r="H143" s="667"/>
      <c r="I143" s="668"/>
    </row>
    <row r="144" spans="2:9">
      <c r="B144" s="1134" t="s">
        <v>224</v>
      </c>
      <c r="C144" s="1135"/>
      <c r="D144" s="904"/>
      <c r="E144" s="669"/>
      <c r="F144" s="669"/>
      <c r="G144" s="670"/>
      <c r="H144" s="671">
        <f>E133</f>
        <v>0</v>
      </c>
      <c r="I144" s="672" t="s">
        <v>6</v>
      </c>
    </row>
    <row r="145" spans="2:9">
      <c r="B145" s="1134" t="s">
        <v>226</v>
      </c>
      <c r="C145" s="1135"/>
      <c r="D145" s="904"/>
      <c r="E145" s="669"/>
      <c r="F145" s="669"/>
      <c r="G145" s="670"/>
      <c r="H145" s="671">
        <f>E133</f>
        <v>0</v>
      </c>
      <c r="I145" s="672" t="s">
        <v>6</v>
      </c>
    </row>
    <row r="146" spans="2:9" ht="12.6" customHeight="1">
      <c r="B146" s="1124" t="s">
        <v>227</v>
      </c>
      <c r="C146" s="1125"/>
      <c r="D146" s="905"/>
      <c r="E146" s="674"/>
      <c r="F146" s="669"/>
      <c r="G146" s="670"/>
      <c r="H146" s="675">
        <f>C12</f>
        <v>0</v>
      </c>
      <c r="I146" s="672" t="s">
        <v>6</v>
      </c>
    </row>
    <row r="147" spans="2:9" ht="12.6" customHeight="1">
      <c r="B147" s="1124" t="s">
        <v>229</v>
      </c>
      <c r="C147" s="1125"/>
      <c r="D147" s="905"/>
      <c r="E147" s="674"/>
      <c r="F147" s="669"/>
      <c r="G147" s="670"/>
      <c r="H147" s="675">
        <f>D12</f>
        <v>0</v>
      </c>
      <c r="I147" s="672" t="s">
        <v>6</v>
      </c>
    </row>
    <row r="148" spans="2:9">
      <c r="B148" s="1134" t="s">
        <v>230</v>
      </c>
      <c r="C148" s="1135"/>
      <c r="D148" s="904"/>
      <c r="E148" s="669"/>
      <c r="F148" s="669"/>
      <c r="G148" s="670"/>
      <c r="H148" s="675">
        <f>IFERROR(VLOOKUP($C$133,Tabla611[#All],4,FALSE)-H38,0)</f>
        <v>0</v>
      </c>
      <c r="I148" s="672" t="s">
        <v>6</v>
      </c>
    </row>
    <row r="149" spans="2:9">
      <c r="B149" s="1134" t="s">
        <v>232</v>
      </c>
      <c r="C149" s="1135"/>
      <c r="D149" s="904"/>
      <c r="E149" s="669"/>
      <c r="F149" s="669"/>
      <c r="G149" s="670"/>
      <c r="H149" s="671">
        <f>E133</f>
        <v>0</v>
      </c>
      <c r="I149" s="672" t="s">
        <v>6</v>
      </c>
    </row>
    <row r="150" spans="2:9">
      <c r="B150" s="1134" t="s">
        <v>233</v>
      </c>
      <c r="C150" s="1135"/>
      <c r="D150" s="904"/>
      <c r="E150" s="669"/>
      <c r="F150" s="669"/>
      <c r="G150" s="670"/>
      <c r="H150" s="965">
        <f>H144+H145+H146+H147+H148</f>
        <v>0</v>
      </c>
      <c r="I150" s="672" t="s">
        <v>6</v>
      </c>
    </row>
    <row r="152" spans="2:9">
      <c r="B152" s="692" t="s">
        <v>235</v>
      </c>
      <c r="C152" s="692"/>
      <c r="D152" s="692"/>
      <c r="E152" s="692"/>
      <c r="F152" s="667"/>
      <c r="G152" s="668"/>
      <c r="H152" s="667"/>
      <c r="I152" s="668"/>
    </row>
    <row r="153" spans="2:9">
      <c r="B153" s="1134" t="s">
        <v>236</v>
      </c>
      <c r="C153" s="1135"/>
      <c r="D153" s="904"/>
      <c r="E153" s="669"/>
      <c r="F153" s="669"/>
      <c r="G153" s="670"/>
      <c r="H153" s="671">
        <f>H144*H136+H145*H137+H146*H138+H139*H147+H148*H140</f>
        <v>0</v>
      </c>
      <c r="I153" s="672" t="s">
        <v>237</v>
      </c>
    </row>
    <row r="154" spans="2:9">
      <c r="B154" s="1134" t="s">
        <v>238</v>
      </c>
      <c r="C154" s="1135"/>
      <c r="D154" s="904"/>
      <c r="E154" s="669"/>
      <c r="F154" s="669"/>
      <c r="G154" s="670"/>
      <c r="H154" s="676">
        <f>IFERROR(H153/H150,0)</f>
        <v>0</v>
      </c>
      <c r="I154" s="672" t="s">
        <v>217</v>
      </c>
    </row>
    <row r="155" spans="2:9">
      <c r="B155" s="1137" t="s">
        <v>239</v>
      </c>
      <c r="C155" s="1138"/>
      <c r="D155" s="906"/>
      <c r="E155" s="336"/>
      <c r="F155" s="336"/>
      <c r="G155" s="337"/>
      <c r="H155" s="338">
        <f>IFERROR(H153/H149,0)</f>
        <v>0</v>
      </c>
      <c r="I155" s="339" t="s">
        <v>217</v>
      </c>
    </row>
    <row r="156" spans="2:9">
      <c r="B156" s="1134" t="s">
        <v>239</v>
      </c>
      <c r="C156" s="1135"/>
      <c r="D156" s="904"/>
      <c r="E156" s="669"/>
      <c r="F156" s="669"/>
      <c r="G156" s="670"/>
      <c r="H156" s="676">
        <f>H155/3.6</f>
        <v>0</v>
      </c>
      <c r="I156" s="672" t="s">
        <v>240</v>
      </c>
    </row>
    <row r="159" spans="2:9" ht="25.5">
      <c r="B159" s="1139">
        <v>5</v>
      </c>
      <c r="C159" s="1126" t="s">
        <v>203</v>
      </c>
      <c r="D159" s="1127"/>
      <c r="E159" s="687" t="s">
        <v>204</v>
      </c>
    </row>
    <row r="160" spans="2:9">
      <c r="B160" s="1140"/>
      <c r="C160" s="1128"/>
      <c r="D160" s="1129"/>
      <c r="E160" s="661"/>
    </row>
    <row r="161" spans="2:9">
      <c r="B161" s="334"/>
      <c r="C161" s="334"/>
      <c r="D161" s="334"/>
      <c r="E161" s="334"/>
    </row>
    <row r="162" spans="2:9" ht="45" customHeight="1">
      <c r="B162" s="691" t="s">
        <v>66</v>
      </c>
      <c r="C162" s="1130" t="s">
        <v>213</v>
      </c>
      <c r="D162" s="1131"/>
      <c r="E162" s="1141" t="s">
        <v>214</v>
      </c>
      <c r="F162" s="1141"/>
      <c r="G162" s="1141"/>
      <c r="H162" s="1148" t="s">
        <v>215</v>
      </c>
      <c r="I162" s="1148"/>
    </row>
    <row r="163" spans="2:9" ht="65.099999999999994" customHeight="1">
      <c r="B163" s="664" t="s">
        <v>216</v>
      </c>
      <c r="C163" s="1132"/>
      <c r="D163" s="1133"/>
      <c r="E163" s="1123"/>
      <c r="F163" s="1123"/>
      <c r="G163" s="1123"/>
      <c r="H163" s="665" cm="1">
        <f t="array" ref="H163">IFERROR(_xlfn.IFS($C163=Biblioteca.Minergie.Paquetes[[#Headers],[Biblioteca.Minergie.Paquetes]],VLOOKUP(E163,Tabla2[#All],2,0),$C163=Biblioteca.Personal.Paquetes[[#Headers],[Biblioteca.Personal.Paquetes]],VLOOKUP(E163,Tabla510[#All],2,0)),0)</f>
        <v>0</v>
      </c>
      <c r="I163" s="666" t="s">
        <v>217</v>
      </c>
    </row>
    <row r="164" spans="2:9" ht="65.099999999999994" customHeight="1">
      <c r="B164" s="664" t="s">
        <v>218</v>
      </c>
      <c r="C164" s="1132"/>
      <c r="D164" s="1133"/>
      <c r="E164" s="1123"/>
      <c r="F164" s="1123"/>
      <c r="G164" s="1123"/>
      <c r="H164" s="665" cm="1">
        <f t="array" ref="H164">IFERROR(_xlfn.IFS($C164=Biblioteca.Minergie.Paquetes[[#Headers],[Biblioteca.Minergie.Paquetes]],VLOOKUP(E164,Tabla2[#All],2,0),$C164=Biblioteca.Personal.Paquetes[[#Headers],[Biblioteca.Personal.Paquetes]],VLOOKUP(E164,Tabla510[#All],2,0)),0)</f>
        <v>0</v>
      </c>
      <c r="I164" s="666" t="s">
        <v>217</v>
      </c>
    </row>
    <row r="165" spans="2:9" ht="65.099999999999994" customHeight="1">
      <c r="B165" s="673" t="s">
        <v>219</v>
      </c>
      <c r="C165" s="1132"/>
      <c r="D165" s="1133"/>
      <c r="E165" s="1123"/>
      <c r="F165" s="1123"/>
      <c r="G165" s="1123"/>
      <c r="H165" s="665" cm="1">
        <f t="array" ref="H165">IFERROR(_xlfn.IFS($C165=Biblioteca.Minergie.Paquetes[[#Headers],[Biblioteca.Minergie.Paquetes]],VLOOKUP(E165,Tabla2[#All],2,0),$C165=Biblioteca.Personal.Paquetes[[#Headers],[Biblioteca.Personal.Paquetes]],VLOOKUP(E165,Tabla510[#All],2,0)),0)</f>
        <v>0</v>
      </c>
      <c r="I165" s="666" t="s">
        <v>217</v>
      </c>
    </row>
    <row r="166" spans="2:9" ht="65.099999999999994" customHeight="1">
      <c r="B166" s="673" t="s">
        <v>220</v>
      </c>
      <c r="C166" s="1132"/>
      <c r="D166" s="1133"/>
      <c r="E166" s="1123"/>
      <c r="F166" s="1123"/>
      <c r="G166" s="1123"/>
      <c r="H166" s="665" cm="1">
        <f t="array" ref="H166">IFERROR(_xlfn.IFS($C166=Biblioteca.Minergie.Paquetes[[#Headers],[Biblioteca.Minergie.Paquetes]],VLOOKUP(E166,Tabla2[#All],2,0),$C166=Biblioteca.Personal.Paquetes[[#Headers],[Biblioteca.Personal.Paquetes]],VLOOKUP(E166,Tabla510[#All],2,0)),0)</f>
        <v>0</v>
      </c>
      <c r="I166" s="666" t="s">
        <v>217</v>
      </c>
    </row>
    <row r="167" spans="2:9" ht="65.099999999999994" customHeight="1">
      <c r="B167" s="673" t="s">
        <v>221</v>
      </c>
      <c r="C167" s="1132"/>
      <c r="D167" s="1133"/>
      <c r="E167" s="1123"/>
      <c r="F167" s="1123"/>
      <c r="G167" s="1123"/>
      <c r="H167" s="665" cm="1">
        <f t="array" ref="H167">IFERROR(_xlfn.IFS($C167=Biblioteca.Minergie.Paquetes[[#Headers],[Biblioteca.Minergie.Paquetes]],VLOOKUP(E167,Tabla2[#All],2,0),$C167=Biblioteca.Personal.Paquetes[[#Headers],[Biblioteca.Personal.Paquetes]],VLOOKUP(E167,Tabla510[#All],2,0)),0)</f>
        <v>0</v>
      </c>
      <c r="I167" s="666" t="s">
        <v>217</v>
      </c>
    </row>
    <row r="168" spans="2:9" ht="23.65" customHeight="1">
      <c r="B168" s="1136" t="s">
        <v>222</v>
      </c>
      <c r="C168" s="1136"/>
      <c r="D168" s="1136"/>
      <c r="E168" s="1136"/>
      <c r="F168" s="1136"/>
      <c r="G168" s="1136"/>
    </row>
    <row r="170" spans="2:9">
      <c r="B170" s="692" t="s">
        <v>223</v>
      </c>
      <c r="C170" s="692"/>
      <c r="D170" s="692"/>
      <c r="E170" s="692"/>
      <c r="F170" s="667"/>
      <c r="G170" s="668"/>
      <c r="H170" s="667"/>
      <c r="I170" s="668"/>
    </row>
    <row r="171" spans="2:9">
      <c r="B171" s="1134" t="s">
        <v>224</v>
      </c>
      <c r="C171" s="1135"/>
      <c r="D171" s="904"/>
      <c r="E171" s="669"/>
      <c r="F171" s="669"/>
      <c r="G171" s="670"/>
      <c r="H171" s="671">
        <f>E160</f>
        <v>0</v>
      </c>
      <c r="I171" s="672" t="s">
        <v>6</v>
      </c>
    </row>
    <row r="172" spans="2:9">
      <c r="B172" s="1134" t="s">
        <v>226</v>
      </c>
      <c r="C172" s="1135"/>
      <c r="D172" s="904"/>
      <c r="E172" s="669"/>
      <c r="F172" s="669"/>
      <c r="G172" s="670"/>
      <c r="H172" s="671">
        <f>E160</f>
        <v>0</v>
      </c>
      <c r="I172" s="672" t="s">
        <v>6</v>
      </c>
    </row>
    <row r="173" spans="2:9" ht="16.350000000000001" customHeight="1">
      <c r="B173" s="1124" t="s">
        <v>227</v>
      </c>
      <c r="C173" s="1125"/>
      <c r="D173" s="905"/>
      <c r="E173" s="674"/>
      <c r="F173" s="669"/>
      <c r="G173" s="670"/>
      <c r="H173" s="675">
        <f>C13</f>
        <v>0</v>
      </c>
      <c r="I173" s="672" t="s">
        <v>6</v>
      </c>
    </row>
    <row r="174" spans="2:9" ht="16.350000000000001" customHeight="1">
      <c r="B174" s="1124" t="s">
        <v>229</v>
      </c>
      <c r="C174" s="1125"/>
      <c r="D174" s="905"/>
      <c r="E174" s="674"/>
      <c r="F174" s="669"/>
      <c r="G174" s="670"/>
      <c r="H174" s="675">
        <f>D13</f>
        <v>0</v>
      </c>
      <c r="I174" s="672" t="s">
        <v>6</v>
      </c>
    </row>
    <row r="175" spans="2:9">
      <c r="B175" s="1134" t="s">
        <v>230</v>
      </c>
      <c r="C175" s="1135"/>
      <c r="D175" s="904"/>
      <c r="E175" s="669"/>
      <c r="F175" s="669"/>
      <c r="G175" s="670"/>
      <c r="H175" s="675">
        <f>IFERROR(VLOOKUP($C$160,Tabla611[#All],4,FALSE)-H65,0)</f>
        <v>0</v>
      </c>
      <c r="I175" s="672" t="s">
        <v>6</v>
      </c>
    </row>
    <row r="176" spans="2:9">
      <c r="B176" s="1134" t="s">
        <v>232</v>
      </c>
      <c r="C176" s="1135"/>
      <c r="D176" s="904"/>
      <c r="E176" s="669"/>
      <c r="F176" s="669"/>
      <c r="G176" s="670"/>
      <c r="H176" s="671">
        <f>E160</f>
        <v>0</v>
      </c>
      <c r="I176" s="672" t="s">
        <v>6</v>
      </c>
    </row>
    <row r="177" spans="2:9">
      <c r="B177" s="1134" t="s">
        <v>233</v>
      </c>
      <c r="C177" s="1135"/>
      <c r="D177" s="904"/>
      <c r="E177" s="669"/>
      <c r="F177" s="669"/>
      <c r="G177" s="670"/>
      <c r="H177" s="965">
        <f>H171+H172+H173+H174+H175</f>
        <v>0</v>
      </c>
      <c r="I177" s="672" t="s">
        <v>6</v>
      </c>
    </row>
    <row r="179" spans="2:9">
      <c r="B179" s="692" t="s">
        <v>235</v>
      </c>
      <c r="C179" s="692"/>
      <c r="D179" s="692"/>
      <c r="E179" s="692"/>
      <c r="F179" s="667"/>
      <c r="G179" s="668"/>
      <c r="H179" s="667"/>
      <c r="I179" s="668"/>
    </row>
    <row r="180" spans="2:9">
      <c r="B180" s="1134" t="s">
        <v>236</v>
      </c>
      <c r="C180" s="1135"/>
      <c r="D180" s="904"/>
      <c r="E180" s="669"/>
      <c r="F180" s="669"/>
      <c r="G180" s="670"/>
      <c r="H180" s="671">
        <f>H171*H163+H172*H164+H173*H165+H166*H174+H175*H167</f>
        <v>0</v>
      </c>
      <c r="I180" s="672" t="s">
        <v>237</v>
      </c>
    </row>
    <row r="181" spans="2:9">
      <c r="B181" s="1134" t="s">
        <v>238</v>
      </c>
      <c r="C181" s="1135"/>
      <c r="D181" s="904"/>
      <c r="E181" s="669"/>
      <c r="F181" s="669"/>
      <c r="G181" s="670"/>
      <c r="H181" s="676">
        <f>IFERROR(H180/H177,0)</f>
        <v>0</v>
      </c>
      <c r="I181" s="672" t="s">
        <v>217</v>
      </c>
    </row>
    <row r="182" spans="2:9">
      <c r="B182" s="1137" t="s">
        <v>239</v>
      </c>
      <c r="C182" s="1138"/>
      <c r="D182" s="906"/>
      <c r="E182" s="336"/>
      <c r="F182" s="336"/>
      <c r="G182" s="337"/>
      <c r="H182" s="338">
        <f>IFERROR(H180/H176,0)</f>
        <v>0</v>
      </c>
      <c r="I182" s="339" t="s">
        <v>217</v>
      </c>
    </row>
    <row r="183" spans="2:9">
      <c r="B183" s="1134" t="s">
        <v>239</v>
      </c>
      <c r="C183" s="1135"/>
      <c r="D183" s="904"/>
      <c r="E183" s="669"/>
      <c r="F183" s="669"/>
      <c r="G183" s="670"/>
      <c r="H183" s="676">
        <f>H182/3.6</f>
        <v>0</v>
      </c>
      <c r="I183" s="672" t="s">
        <v>240</v>
      </c>
    </row>
    <row r="186" spans="2:9" ht="25.5">
      <c r="B186" s="1139">
        <v>6</v>
      </c>
      <c r="C186" s="1126" t="s">
        <v>203</v>
      </c>
      <c r="D186" s="1127"/>
      <c r="E186" s="687" t="s">
        <v>204</v>
      </c>
    </row>
    <row r="187" spans="2:9">
      <c r="B187" s="1140"/>
      <c r="C187" s="1128"/>
      <c r="D187" s="1129"/>
      <c r="E187" s="661"/>
    </row>
    <row r="188" spans="2:9">
      <c r="B188" s="334"/>
      <c r="C188" s="334"/>
      <c r="D188" s="334"/>
      <c r="E188" s="334"/>
    </row>
    <row r="189" spans="2:9" ht="45" customHeight="1">
      <c r="B189" s="691" t="s">
        <v>66</v>
      </c>
      <c r="C189" s="1130" t="s">
        <v>213</v>
      </c>
      <c r="D189" s="1131"/>
      <c r="E189" s="1141" t="s">
        <v>214</v>
      </c>
      <c r="F189" s="1141"/>
      <c r="G189" s="1141"/>
      <c r="H189" s="1148" t="s">
        <v>215</v>
      </c>
      <c r="I189" s="1148"/>
    </row>
    <row r="190" spans="2:9" ht="65.099999999999994" customHeight="1">
      <c r="B190" s="664" t="s">
        <v>216</v>
      </c>
      <c r="C190" s="1132"/>
      <c r="D190" s="1133"/>
      <c r="E190" s="1123"/>
      <c r="F190" s="1123"/>
      <c r="G190" s="1123"/>
      <c r="H190" s="665" cm="1">
        <f t="array" ref="H190">IFERROR(_xlfn.IFS($C190=Biblioteca.Minergie.Paquetes[[#Headers],[Biblioteca.Minergie.Paquetes]],VLOOKUP(E190,Tabla2[#All],2,0),$C190=Biblioteca.Personal.Paquetes[[#Headers],[Biblioteca.Personal.Paquetes]],VLOOKUP(E190,Tabla510[#All],2,0)),0)</f>
        <v>0</v>
      </c>
      <c r="I190" s="666" t="s">
        <v>217</v>
      </c>
    </row>
    <row r="191" spans="2:9" ht="65.099999999999994" customHeight="1">
      <c r="B191" s="664" t="s">
        <v>218</v>
      </c>
      <c r="C191" s="1132"/>
      <c r="D191" s="1133"/>
      <c r="E191" s="1123"/>
      <c r="F191" s="1123"/>
      <c r="G191" s="1123"/>
      <c r="H191" s="665" cm="1">
        <f t="array" ref="H191">IFERROR(_xlfn.IFS($C191=Biblioteca.Minergie.Paquetes[[#Headers],[Biblioteca.Minergie.Paquetes]],VLOOKUP(E191,Tabla2[#All],2,0),$C191=Biblioteca.Personal.Paquetes[[#Headers],[Biblioteca.Personal.Paquetes]],VLOOKUP(E191,Tabla510[#All],2,0)),0)</f>
        <v>0</v>
      </c>
      <c r="I191" s="666" t="s">
        <v>217</v>
      </c>
    </row>
    <row r="192" spans="2:9" ht="65.099999999999994" customHeight="1">
      <c r="B192" s="673" t="s">
        <v>219</v>
      </c>
      <c r="C192" s="1132"/>
      <c r="D192" s="1133"/>
      <c r="E192" s="1123"/>
      <c r="F192" s="1123"/>
      <c r="G192" s="1123"/>
      <c r="H192" s="665" cm="1">
        <f t="array" ref="H192">IFERROR(_xlfn.IFS($C192=Biblioteca.Minergie.Paquetes[[#Headers],[Biblioteca.Minergie.Paquetes]],VLOOKUP(E192,Tabla2[#All],2,0),$C192=Biblioteca.Personal.Paquetes[[#Headers],[Biblioteca.Personal.Paquetes]],VLOOKUP(E192,Tabla510[#All],2,0)),0)</f>
        <v>0</v>
      </c>
      <c r="I192" s="666" t="s">
        <v>217</v>
      </c>
    </row>
    <row r="193" spans="2:9" ht="65.099999999999994" customHeight="1">
      <c r="B193" s="673" t="s">
        <v>220</v>
      </c>
      <c r="C193" s="1132"/>
      <c r="D193" s="1133"/>
      <c r="E193" s="1123"/>
      <c r="F193" s="1123"/>
      <c r="G193" s="1123"/>
      <c r="H193" s="665" cm="1">
        <f t="array" ref="H193">IFERROR(_xlfn.IFS($C193=Biblioteca.Minergie.Paquetes[[#Headers],[Biblioteca.Minergie.Paquetes]],VLOOKUP(E193,Tabla2[#All],2,0),$C193=Biblioteca.Personal.Paquetes[[#Headers],[Biblioteca.Personal.Paquetes]],VLOOKUP(E193,Tabla510[#All],2,0)),0)</f>
        <v>0</v>
      </c>
      <c r="I193" s="666" t="s">
        <v>217</v>
      </c>
    </row>
    <row r="194" spans="2:9" ht="65.099999999999994" customHeight="1">
      <c r="B194" s="673" t="s">
        <v>221</v>
      </c>
      <c r="C194" s="1132"/>
      <c r="D194" s="1133"/>
      <c r="E194" s="1123"/>
      <c r="F194" s="1123"/>
      <c r="G194" s="1123"/>
      <c r="H194" s="665" cm="1">
        <f t="array" ref="H194">IFERROR(_xlfn.IFS($C194=Biblioteca.Minergie.Paquetes[[#Headers],[Biblioteca.Minergie.Paquetes]],VLOOKUP(E194,Tabla2[#All],2,0),$C194=Biblioteca.Personal.Paquetes[[#Headers],[Biblioteca.Personal.Paquetes]],VLOOKUP(E194,Tabla510[#All],2,0)),0)</f>
        <v>0</v>
      </c>
      <c r="I194" s="666" t="s">
        <v>217</v>
      </c>
    </row>
    <row r="195" spans="2:9" ht="27.6" customHeight="1">
      <c r="B195" s="1136" t="s">
        <v>222</v>
      </c>
      <c r="C195" s="1136"/>
      <c r="D195" s="1136"/>
      <c r="E195" s="1136"/>
      <c r="F195" s="1136"/>
      <c r="G195" s="1136"/>
    </row>
    <row r="197" spans="2:9">
      <c r="B197" s="692" t="s">
        <v>223</v>
      </c>
      <c r="C197" s="692"/>
      <c r="D197" s="692"/>
      <c r="E197" s="692"/>
      <c r="F197" s="667"/>
      <c r="G197" s="668"/>
      <c r="H197" s="667"/>
      <c r="I197" s="668"/>
    </row>
    <row r="198" spans="2:9">
      <c r="B198" s="1134" t="s">
        <v>224</v>
      </c>
      <c r="C198" s="1135"/>
      <c r="D198" s="904"/>
      <c r="E198" s="669"/>
      <c r="F198" s="669"/>
      <c r="G198" s="670"/>
      <c r="H198" s="671">
        <f>E187</f>
        <v>0</v>
      </c>
      <c r="I198" s="672" t="s">
        <v>6</v>
      </c>
    </row>
    <row r="199" spans="2:9">
      <c r="B199" s="1134" t="s">
        <v>226</v>
      </c>
      <c r="C199" s="1135"/>
      <c r="D199" s="904"/>
      <c r="E199" s="669"/>
      <c r="F199" s="669"/>
      <c r="G199" s="670"/>
      <c r="H199" s="671">
        <f>E187</f>
        <v>0</v>
      </c>
      <c r="I199" s="672" t="s">
        <v>6</v>
      </c>
    </row>
    <row r="200" spans="2:9" ht="12.6" customHeight="1">
      <c r="B200" s="1124" t="s">
        <v>227</v>
      </c>
      <c r="C200" s="1125"/>
      <c r="D200" s="905"/>
      <c r="E200" s="674"/>
      <c r="F200" s="669"/>
      <c r="G200" s="670"/>
      <c r="H200" s="675">
        <f>C14</f>
        <v>0</v>
      </c>
      <c r="I200" s="672" t="s">
        <v>6</v>
      </c>
    </row>
    <row r="201" spans="2:9">
      <c r="B201" s="1124" t="s">
        <v>229</v>
      </c>
      <c r="C201" s="1125"/>
      <c r="D201" s="905"/>
      <c r="E201" s="674"/>
      <c r="F201" s="669"/>
      <c r="G201" s="670"/>
      <c r="H201" s="675">
        <f>D14</f>
        <v>0</v>
      </c>
      <c r="I201" s="672" t="s">
        <v>6</v>
      </c>
    </row>
    <row r="202" spans="2:9">
      <c r="B202" s="1134" t="s">
        <v>230</v>
      </c>
      <c r="C202" s="1135"/>
      <c r="D202" s="904"/>
      <c r="E202" s="669"/>
      <c r="F202" s="669"/>
      <c r="G202" s="670"/>
      <c r="H202" s="675">
        <f>IFERROR(VLOOKUP($C$187,Tabla611[#All],4,FALSE)-H92,0)</f>
        <v>0</v>
      </c>
      <c r="I202" s="672" t="s">
        <v>6</v>
      </c>
    </row>
    <row r="203" spans="2:9">
      <c r="B203" s="1134" t="s">
        <v>232</v>
      </c>
      <c r="C203" s="1135"/>
      <c r="D203" s="904"/>
      <c r="E203" s="669"/>
      <c r="F203" s="669"/>
      <c r="G203" s="670"/>
      <c r="H203" s="671">
        <f>E187</f>
        <v>0</v>
      </c>
      <c r="I203" s="672" t="s">
        <v>6</v>
      </c>
    </row>
    <row r="204" spans="2:9">
      <c r="B204" s="1134" t="s">
        <v>233</v>
      </c>
      <c r="C204" s="1135"/>
      <c r="D204" s="904"/>
      <c r="E204" s="669"/>
      <c r="F204" s="669"/>
      <c r="G204" s="670"/>
      <c r="H204" s="965">
        <f>H198+H199+H200+H201+H202</f>
        <v>0</v>
      </c>
      <c r="I204" s="672" t="s">
        <v>6</v>
      </c>
    </row>
    <row r="206" spans="2:9">
      <c r="B206" s="692" t="s">
        <v>235</v>
      </c>
      <c r="C206" s="692"/>
      <c r="D206" s="692"/>
      <c r="E206" s="692"/>
      <c r="F206" s="667"/>
      <c r="G206" s="668"/>
      <c r="H206" s="667"/>
      <c r="I206" s="668"/>
    </row>
    <row r="207" spans="2:9">
      <c r="B207" s="1134" t="s">
        <v>236</v>
      </c>
      <c r="C207" s="1135"/>
      <c r="D207" s="904"/>
      <c r="E207" s="669"/>
      <c r="F207" s="669"/>
      <c r="G207" s="670"/>
      <c r="H207" s="671">
        <f>H198*H190+H199*H191+H200*H192+H193*H201+H202*H194</f>
        <v>0</v>
      </c>
      <c r="I207" s="672" t="s">
        <v>237</v>
      </c>
    </row>
    <row r="208" spans="2:9">
      <c r="B208" s="1134" t="s">
        <v>238</v>
      </c>
      <c r="C208" s="1135"/>
      <c r="D208" s="904"/>
      <c r="E208" s="669"/>
      <c r="F208" s="669"/>
      <c r="G208" s="670"/>
      <c r="H208" s="676">
        <f>IFERROR(H207/H204,0)</f>
        <v>0</v>
      </c>
      <c r="I208" s="672" t="s">
        <v>217</v>
      </c>
    </row>
    <row r="209" spans="2:9">
      <c r="B209" s="1137" t="s">
        <v>239</v>
      </c>
      <c r="C209" s="1138"/>
      <c r="D209" s="906"/>
      <c r="E209" s="336"/>
      <c r="F209" s="336"/>
      <c r="G209" s="337"/>
      <c r="H209" s="338">
        <f>IFERROR(H207/H203,0)</f>
        <v>0</v>
      </c>
      <c r="I209" s="339" t="s">
        <v>217</v>
      </c>
    </row>
    <row r="210" spans="2:9">
      <c r="B210" s="1134" t="s">
        <v>239</v>
      </c>
      <c r="C210" s="1135"/>
      <c r="D210" s="904"/>
      <c r="E210" s="669"/>
      <c r="F210" s="669"/>
      <c r="G210" s="670"/>
      <c r="H210" s="676">
        <f>H209/3.6</f>
        <v>0</v>
      </c>
      <c r="I210" s="672" t="s">
        <v>240</v>
      </c>
    </row>
    <row r="213" spans="2:9" ht="25.5">
      <c r="B213" s="1139">
        <v>7</v>
      </c>
      <c r="C213" s="1126" t="s">
        <v>203</v>
      </c>
      <c r="D213" s="1127"/>
      <c r="E213" s="687" t="s">
        <v>204</v>
      </c>
    </row>
    <row r="214" spans="2:9">
      <c r="B214" s="1140"/>
      <c r="C214" s="1128"/>
      <c r="D214" s="1129"/>
      <c r="E214" s="661"/>
    </row>
    <row r="215" spans="2:9">
      <c r="B215" s="334"/>
      <c r="C215" s="334"/>
      <c r="D215" s="334"/>
      <c r="E215" s="334"/>
    </row>
    <row r="216" spans="2:9" ht="45" customHeight="1">
      <c r="B216" s="691" t="s">
        <v>66</v>
      </c>
      <c r="C216" s="1130" t="s">
        <v>213</v>
      </c>
      <c r="D216" s="1131"/>
      <c r="E216" s="1141" t="s">
        <v>214</v>
      </c>
      <c r="F216" s="1141"/>
      <c r="G216" s="1141"/>
      <c r="H216" s="1148" t="s">
        <v>215</v>
      </c>
      <c r="I216" s="1148"/>
    </row>
    <row r="217" spans="2:9" ht="65.099999999999994" customHeight="1">
      <c r="B217" s="664" t="s">
        <v>216</v>
      </c>
      <c r="C217" s="1132"/>
      <c r="D217" s="1133"/>
      <c r="E217" s="1123"/>
      <c r="F217" s="1123"/>
      <c r="G217" s="1123"/>
      <c r="H217" s="665" cm="1">
        <f t="array" ref="H217">IFERROR(_xlfn.IFS($C217=Biblioteca.Minergie.Paquetes[[#Headers],[Biblioteca.Minergie.Paquetes]],VLOOKUP(E217,Tabla2[#All],2,0),$C217=Biblioteca.Personal.Paquetes[[#Headers],[Biblioteca.Personal.Paquetes]],VLOOKUP(E217,Tabla510[#All],2,0)),0)</f>
        <v>0</v>
      </c>
      <c r="I217" s="666" t="s">
        <v>217</v>
      </c>
    </row>
    <row r="218" spans="2:9" ht="65.099999999999994" customHeight="1">
      <c r="B218" s="664" t="s">
        <v>218</v>
      </c>
      <c r="C218" s="1132"/>
      <c r="D218" s="1133"/>
      <c r="E218" s="1123"/>
      <c r="F218" s="1123"/>
      <c r="G218" s="1123"/>
      <c r="H218" s="665" cm="1">
        <f t="array" ref="H218">IFERROR(_xlfn.IFS($C218=Biblioteca.Minergie.Paquetes[[#Headers],[Biblioteca.Minergie.Paquetes]],VLOOKUP(E218,Tabla2[#All],2,0),$C218=Biblioteca.Personal.Paquetes[[#Headers],[Biblioteca.Personal.Paquetes]],VLOOKUP(E218,Tabla510[#All],2,0)),0)</f>
        <v>0</v>
      </c>
      <c r="I218" s="666" t="s">
        <v>217</v>
      </c>
    </row>
    <row r="219" spans="2:9" ht="65.099999999999994" customHeight="1">
      <c r="B219" s="673" t="s">
        <v>219</v>
      </c>
      <c r="C219" s="1132"/>
      <c r="D219" s="1133"/>
      <c r="E219" s="1123"/>
      <c r="F219" s="1123"/>
      <c r="G219" s="1123"/>
      <c r="H219" s="665" cm="1">
        <f t="array" ref="H219">IFERROR(_xlfn.IFS($C219=Biblioteca.Minergie.Paquetes[[#Headers],[Biblioteca.Minergie.Paquetes]],VLOOKUP(E219,Tabla2[#All],2,0),$C219=Biblioteca.Personal.Paquetes[[#Headers],[Biblioteca.Personal.Paquetes]],VLOOKUP(E219,Tabla510[#All],2,0)),0)</f>
        <v>0</v>
      </c>
      <c r="I219" s="666" t="s">
        <v>217</v>
      </c>
    </row>
    <row r="220" spans="2:9" ht="65.099999999999994" customHeight="1">
      <c r="B220" s="673" t="s">
        <v>220</v>
      </c>
      <c r="C220" s="1132"/>
      <c r="D220" s="1133"/>
      <c r="E220" s="1123"/>
      <c r="F220" s="1123"/>
      <c r="G220" s="1123"/>
      <c r="H220" s="665" cm="1">
        <f t="array" ref="H220">IFERROR(_xlfn.IFS($C220=Biblioteca.Minergie.Paquetes[[#Headers],[Biblioteca.Minergie.Paquetes]],VLOOKUP(E220,Tabla2[#All],2,0),$C220=Biblioteca.Personal.Paquetes[[#Headers],[Biblioteca.Personal.Paquetes]],VLOOKUP(E220,Tabla510[#All],2,0)),0)</f>
        <v>0</v>
      </c>
      <c r="I220" s="666" t="s">
        <v>217</v>
      </c>
    </row>
    <row r="221" spans="2:9" ht="65.099999999999994" customHeight="1">
      <c r="B221" s="673" t="s">
        <v>221</v>
      </c>
      <c r="C221" s="1132"/>
      <c r="D221" s="1133"/>
      <c r="E221" s="1123"/>
      <c r="F221" s="1123"/>
      <c r="G221" s="1123"/>
      <c r="H221" s="665" cm="1">
        <f t="array" ref="H221">IFERROR(_xlfn.IFS($C221=Biblioteca.Minergie.Paquetes[[#Headers],[Biblioteca.Minergie.Paquetes]],VLOOKUP(E221,Tabla2[#All],2,0),$C221=Biblioteca.Personal.Paquetes[[#Headers],[Biblioteca.Personal.Paquetes]],VLOOKUP(E221,Tabla510[#All],2,0)),0)</f>
        <v>0</v>
      </c>
      <c r="I221" s="666" t="s">
        <v>217</v>
      </c>
    </row>
    <row r="222" spans="2:9" ht="27" customHeight="1">
      <c r="B222" s="1136" t="s">
        <v>222</v>
      </c>
      <c r="C222" s="1136"/>
      <c r="D222" s="1136"/>
      <c r="E222" s="1136"/>
      <c r="F222" s="1136"/>
      <c r="G222" s="1136"/>
    </row>
    <row r="224" spans="2:9">
      <c r="B224" s="692" t="s">
        <v>223</v>
      </c>
      <c r="C224" s="692"/>
      <c r="D224" s="692"/>
      <c r="E224" s="692"/>
      <c r="F224" s="667"/>
      <c r="G224" s="668"/>
      <c r="H224" s="667"/>
      <c r="I224" s="668"/>
    </row>
    <row r="225" spans="2:9">
      <c r="B225" s="1134" t="s">
        <v>224</v>
      </c>
      <c r="C225" s="1135"/>
      <c r="D225" s="904"/>
      <c r="E225" s="669"/>
      <c r="F225" s="669"/>
      <c r="G225" s="670"/>
      <c r="H225" s="671">
        <f>E214</f>
        <v>0</v>
      </c>
      <c r="I225" s="672" t="s">
        <v>6</v>
      </c>
    </row>
    <row r="226" spans="2:9">
      <c r="B226" s="1134" t="s">
        <v>226</v>
      </c>
      <c r="C226" s="1135"/>
      <c r="D226" s="904"/>
      <c r="E226" s="669"/>
      <c r="F226" s="669"/>
      <c r="G226" s="670"/>
      <c r="H226" s="671">
        <f>E214</f>
        <v>0</v>
      </c>
      <c r="I226" s="672" t="s">
        <v>6</v>
      </c>
    </row>
    <row r="227" spans="2:9" ht="12.6" customHeight="1">
      <c r="B227" s="1146" t="s">
        <v>241</v>
      </c>
      <c r="C227" s="1147"/>
      <c r="D227" s="905"/>
      <c r="E227" s="674"/>
      <c r="F227" s="669"/>
      <c r="G227" s="670"/>
      <c r="H227" s="675">
        <f>C15</f>
        <v>0</v>
      </c>
      <c r="I227" s="672" t="s">
        <v>6</v>
      </c>
    </row>
    <row r="228" spans="2:9">
      <c r="B228" s="1146" t="s">
        <v>242</v>
      </c>
      <c r="C228" s="1147"/>
      <c r="D228" s="905"/>
      <c r="E228" s="674"/>
      <c r="F228" s="669"/>
      <c r="G228" s="670"/>
      <c r="H228" s="675">
        <f>D15</f>
        <v>0</v>
      </c>
      <c r="I228" s="672" t="s">
        <v>6</v>
      </c>
    </row>
    <row r="229" spans="2:9">
      <c r="B229" s="1134" t="s">
        <v>230</v>
      </c>
      <c r="C229" s="1135"/>
      <c r="D229" s="904"/>
      <c r="E229" s="669"/>
      <c r="F229" s="669"/>
      <c r="G229" s="670"/>
      <c r="H229" s="675">
        <f>IFERROR(VLOOKUP($C$214,Tabla611[#All],4,FALSE)-H119,0)</f>
        <v>0</v>
      </c>
      <c r="I229" s="672" t="s">
        <v>6</v>
      </c>
    </row>
    <row r="230" spans="2:9">
      <c r="B230" s="1134" t="s">
        <v>232</v>
      </c>
      <c r="C230" s="1135"/>
      <c r="D230" s="904"/>
      <c r="E230" s="669"/>
      <c r="F230" s="669"/>
      <c r="G230" s="670"/>
      <c r="H230" s="671">
        <f>E214</f>
        <v>0</v>
      </c>
      <c r="I230" s="672" t="s">
        <v>6</v>
      </c>
    </row>
    <row r="231" spans="2:9">
      <c r="B231" s="1134" t="s">
        <v>233</v>
      </c>
      <c r="C231" s="1135"/>
      <c r="D231" s="904"/>
      <c r="E231" s="669"/>
      <c r="F231" s="669"/>
      <c r="G231" s="670"/>
      <c r="H231" s="965">
        <f>H225+H226+H227+H228+H229</f>
        <v>0</v>
      </c>
      <c r="I231" s="672" t="s">
        <v>6</v>
      </c>
    </row>
    <row r="233" spans="2:9">
      <c r="B233" s="692" t="s">
        <v>235</v>
      </c>
      <c r="C233" s="692"/>
      <c r="D233" s="692"/>
      <c r="E233" s="692"/>
      <c r="F233" s="667"/>
      <c r="G233" s="668"/>
      <c r="H233" s="667"/>
      <c r="I233" s="668"/>
    </row>
    <row r="234" spans="2:9">
      <c r="B234" s="1134" t="s">
        <v>236</v>
      </c>
      <c r="C234" s="1135"/>
      <c r="D234" s="904"/>
      <c r="E234" s="669"/>
      <c r="F234" s="669"/>
      <c r="G234" s="670"/>
      <c r="H234" s="671">
        <f>H225*H217+H226*H218+H227*H219+H220*H228+H229*H221</f>
        <v>0</v>
      </c>
      <c r="I234" s="672" t="s">
        <v>237</v>
      </c>
    </row>
    <row r="235" spans="2:9">
      <c r="B235" s="1134" t="s">
        <v>238</v>
      </c>
      <c r="C235" s="1135"/>
      <c r="D235" s="904"/>
      <c r="E235" s="669"/>
      <c r="F235" s="669"/>
      <c r="G235" s="670"/>
      <c r="H235" s="676">
        <f>IFERROR(H234/H231,0)</f>
        <v>0</v>
      </c>
      <c r="I235" s="672" t="s">
        <v>217</v>
      </c>
    </row>
    <row r="236" spans="2:9">
      <c r="B236" s="1137" t="s">
        <v>239</v>
      </c>
      <c r="C236" s="1138"/>
      <c r="D236" s="906"/>
      <c r="E236" s="336"/>
      <c r="F236" s="336"/>
      <c r="G236" s="337"/>
      <c r="H236" s="338">
        <f>IFERROR(H234/H230,0)</f>
        <v>0</v>
      </c>
      <c r="I236" s="339" t="s">
        <v>217</v>
      </c>
    </row>
    <row r="237" spans="2:9">
      <c r="B237" s="1134" t="s">
        <v>239</v>
      </c>
      <c r="C237" s="1135"/>
      <c r="D237" s="904"/>
      <c r="E237" s="669"/>
      <c r="F237" s="669"/>
      <c r="G237" s="670"/>
      <c r="H237" s="676">
        <f>H236/3.6</f>
        <v>0</v>
      </c>
      <c r="I237" s="672" t="s">
        <v>240</v>
      </c>
    </row>
    <row r="240" spans="2:9" ht="25.5">
      <c r="B240" s="1139">
        <v>8</v>
      </c>
      <c r="C240" s="1126" t="s">
        <v>203</v>
      </c>
      <c r="D240" s="1127"/>
      <c r="E240" s="687" t="s">
        <v>204</v>
      </c>
    </row>
    <row r="241" spans="2:9">
      <c r="B241" s="1140"/>
      <c r="C241" s="1128"/>
      <c r="D241" s="1129"/>
      <c r="E241" s="661"/>
    </row>
    <row r="242" spans="2:9">
      <c r="B242" s="334"/>
      <c r="C242" s="334"/>
      <c r="D242" s="334"/>
      <c r="E242" s="334"/>
    </row>
    <row r="243" spans="2:9" ht="45" customHeight="1">
      <c r="B243" s="691" t="s">
        <v>66</v>
      </c>
      <c r="C243" s="1130" t="s">
        <v>213</v>
      </c>
      <c r="D243" s="1131"/>
      <c r="E243" s="1141" t="s">
        <v>214</v>
      </c>
      <c r="F243" s="1141"/>
      <c r="G243" s="1141"/>
      <c r="H243" s="1148" t="s">
        <v>215</v>
      </c>
      <c r="I243" s="1148"/>
    </row>
    <row r="244" spans="2:9" ht="65.099999999999994" customHeight="1">
      <c r="B244" s="664" t="s">
        <v>216</v>
      </c>
      <c r="C244" s="1132"/>
      <c r="D244" s="1133"/>
      <c r="E244" s="1123"/>
      <c r="F244" s="1123"/>
      <c r="G244" s="1123"/>
      <c r="H244" s="665" cm="1">
        <f t="array" ref="H244">IFERROR(_xlfn.IFS($C244=Biblioteca.Minergie.Paquetes[[#Headers],[Biblioteca.Minergie.Paquetes]],VLOOKUP(E244,Tabla2[#All],2,0),$C244=Biblioteca.Personal.Paquetes[[#Headers],[Biblioteca.Personal.Paquetes]],VLOOKUP(E244,Tabla510[#All],2,0)),0)</f>
        <v>0</v>
      </c>
      <c r="I244" s="666" t="s">
        <v>217</v>
      </c>
    </row>
    <row r="245" spans="2:9" ht="65.099999999999994" customHeight="1">
      <c r="B245" s="664" t="s">
        <v>218</v>
      </c>
      <c r="C245" s="1132"/>
      <c r="D245" s="1133"/>
      <c r="E245" s="1123"/>
      <c r="F245" s="1123"/>
      <c r="G245" s="1123"/>
      <c r="H245" s="665" cm="1">
        <f t="array" ref="H245">IFERROR(_xlfn.IFS($C245=Biblioteca.Minergie.Paquetes[[#Headers],[Biblioteca.Minergie.Paquetes]],VLOOKUP(E245,Tabla2[#All],2,0),$C245=Biblioteca.Personal.Paquetes[[#Headers],[Biblioteca.Personal.Paquetes]],VLOOKUP(E245,Tabla510[#All],2,0)),0)</f>
        <v>0</v>
      </c>
      <c r="I245" s="666" t="s">
        <v>217</v>
      </c>
    </row>
    <row r="246" spans="2:9" ht="65.099999999999994" customHeight="1">
      <c r="B246" s="673" t="s">
        <v>219</v>
      </c>
      <c r="C246" s="1132"/>
      <c r="D246" s="1133"/>
      <c r="E246" s="1123"/>
      <c r="F246" s="1123"/>
      <c r="G246" s="1123"/>
      <c r="H246" s="665" cm="1">
        <f t="array" ref="H246">IFERROR(_xlfn.IFS($C246=Biblioteca.Minergie.Paquetes[[#Headers],[Biblioteca.Minergie.Paquetes]],VLOOKUP(E246,Tabla2[#All],2,0),$C246=Biblioteca.Personal.Paquetes[[#Headers],[Biblioteca.Personal.Paquetes]],VLOOKUP(E246,Tabla510[#All],2,0)),0)</f>
        <v>0</v>
      </c>
      <c r="I246" s="666" t="s">
        <v>217</v>
      </c>
    </row>
    <row r="247" spans="2:9" ht="65.099999999999994" customHeight="1">
      <c r="B247" s="673" t="s">
        <v>220</v>
      </c>
      <c r="C247" s="1132"/>
      <c r="D247" s="1133"/>
      <c r="E247" s="1123"/>
      <c r="F247" s="1123"/>
      <c r="G247" s="1123"/>
      <c r="H247" s="665" cm="1">
        <f t="array" ref="H247">IFERROR(_xlfn.IFS($C247=Biblioteca.Minergie.Paquetes[[#Headers],[Biblioteca.Minergie.Paquetes]],VLOOKUP(E247,Tabla2[#All],2,0),$C247=Biblioteca.Personal.Paquetes[[#Headers],[Biblioteca.Personal.Paquetes]],VLOOKUP(E247,Tabla510[#All],2,0)),0)</f>
        <v>0</v>
      </c>
      <c r="I247" s="666" t="s">
        <v>217</v>
      </c>
    </row>
    <row r="248" spans="2:9" ht="65.099999999999994" customHeight="1">
      <c r="B248" s="673" t="s">
        <v>221</v>
      </c>
      <c r="C248" s="1132"/>
      <c r="D248" s="1133"/>
      <c r="E248" s="1123"/>
      <c r="F248" s="1123"/>
      <c r="G248" s="1123"/>
      <c r="H248" s="665" cm="1">
        <f t="array" ref="H248">IFERROR(_xlfn.IFS($C248=Biblioteca.Minergie.Paquetes[[#Headers],[Biblioteca.Minergie.Paquetes]],VLOOKUP(E248,Tabla2[#All],2,0),$C248=Biblioteca.Personal.Paquetes[[#Headers],[Biblioteca.Personal.Paquetes]],VLOOKUP(E248,Tabla510[#All],2,0)),0)</f>
        <v>0</v>
      </c>
      <c r="I248" s="666" t="s">
        <v>217</v>
      </c>
    </row>
    <row r="249" spans="2:9" ht="25.35" customHeight="1">
      <c r="B249" s="1136" t="s">
        <v>222</v>
      </c>
      <c r="C249" s="1136"/>
      <c r="D249" s="1136"/>
      <c r="E249" s="1136"/>
      <c r="F249" s="1136"/>
      <c r="G249" s="1136"/>
    </row>
    <row r="251" spans="2:9">
      <c r="B251" s="692" t="s">
        <v>223</v>
      </c>
      <c r="C251" s="692"/>
      <c r="D251" s="692"/>
      <c r="E251" s="692"/>
      <c r="F251" s="667"/>
      <c r="G251" s="668"/>
      <c r="H251" s="667"/>
      <c r="I251" s="668"/>
    </row>
    <row r="252" spans="2:9">
      <c r="B252" s="1134" t="s">
        <v>224</v>
      </c>
      <c r="C252" s="1135"/>
      <c r="D252" s="904"/>
      <c r="E252" s="669"/>
      <c r="F252" s="669"/>
      <c r="G252" s="670"/>
      <c r="H252" s="671">
        <f>E241</f>
        <v>0</v>
      </c>
      <c r="I252" s="672" t="s">
        <v>6</v>
      </c>
    </row>
    <row r="253" spans="2:9">
      <c r="B253" s="1134" t="s">
        <v>226</v>
      </c>
      <c r="C253" s="1135"/>
      <c r="D253" s="904"/>
      <c r="E253" s="669"/>
      <c r="F253" s="669"/>
      <c r="G253" s="670"/>
      <c r="H253" s="671">
        <f>E241</f>
        <v>0</v>
      </c>
      <c r="I253" s="672" t="s">
        <v>6</v>
      </c>
    </row>
    <row r="254" spans="2:9" ht="12.6" customHeight="1">
      <c r="B254" s="1124" t="s">
        <v>227</v>
      </c>
      <c r="C254" s="1125"/>
      <c r="D254" s="905"/>
      <c r="E254" s="674"/>
      <c r="F254" s="669"/>
      <c r="G254" s="670"/>
      <c r="H254" s="675">
        <f>C16</f>
        <v>0</v>
      </c>
      <c r="I254" s="672" t="s">
        <v>6</v>
      </c>
    </row>
    <row r="255" spans="2:9">
      <c r="B255" s="1124" t="s">
        <v>229</v>
      </c>
      <c r="C255" s="1125"/>
      <c r="D255" s="905"/>
      <c r="E255" s="674"/>
      <c r="F255" s="669"/>
      <c r="G255" s="670"/>
      <c r="H255" s="675">
        <f>D16</f>
        <v>0</v>
      </c>
      <c r="I255" s="672" t="s">
        <v>6</v>
      </c>
    </row>
    <row r="256" spans="2:9">
      <c r="B256" s="1134" t="s">
        <v>230</v>
      </c>
      <c r="C256" s="1135"/>
      <c r="D256" s="904"/>
      <c r="E256" s="669"/>
      <c r="F256" s="669"/>
      <c r="G256" s="670"/>
      <c r="H256" s="675">
        <f>IFERROR(VLOOKUP($C$241,Tabla611[#All],4,FALSE)-H146,0)</f>
        <v>0</v>
      </c>
      <c r="I256" s="672" t="s">
        <v>6</v>
      </c>
    </row>
    <row r="257" spans="2:9">
      <c r="B257" s="1134" t="s">
        <v>232</v>
      </c>
      <c r="C257" s="1135"/>
      <c r="D257" s="904"/>
      <c r="E257" s="669"/>
      <c r="F257" s="669"/>
      <c r="G257" s="670"/>
      <c r="H257" s="671">
        <f>E241</f>
        <v>0</v>
      </c>
      <c r="I257" s="672" t="s">
        <v>6</v>
      </c>
    </row>
    <row r="258" spans="2:9">
      <c r="B258" s="1134" t="s">
        <v>233</v>
      </c>
      <c r="C258" s="1135"/>
      <c r="D258" s="904"/>
      <c r="E258" s="669"/>
      <c r="F258" s="669"/>
      <c r="G258" s="670"/>
      <c r="H258" s="965">
        <f>H252+H253+H254+H255+H256</f>
        <v>0</v>
      </c>
      <c r="I258" s="672" t="s">
        <v>6</v>
      </c>
    </row>
    <row r="260" spans="2:9">
      <c r="B260" s="692" t="s">
        <v>235</v>
      </c>
      <c r="C260" s="692"/>
      <c r="D260" s="692"/>
      <c r="E260" s="692"/>
      <c r="F260" s="667"/>
      <c r="G260" s="668"/>
      <c r="H260" s="667"/>
      <c r="I260" s="668"/>
    </row>
    <row r="261" spans="2:9">
      <c r="B261" s="1134" t="s">
        <v>236</v>
      </c>
      <c r="C261" s="1135"/>
      <c r="D261" s="904"/>
      <c r="E261" s="669"/>
      <c r="F261" s="669"/>
      <c r="G261" s="670"/>
      <c r="H261" s="671">
        <f>H252*H244+H253*H245+H254*H246+H247*H255+H256*H248</f>
        <v>0</v>
      </c>
      <c r="I261" s="672" t="s">
        <v>237</v>
      </c>
    </row>
    <row r="262" spans="2:9">
      <c r="B262" s="1134" t="s">
        <v>238</v>
      </c>
      <c r="C262" s="1135"/>
      <c r="D262" s="904"/>
      <c r="E262" s="669"/>
      <c r="F262" s="669"/>
      <c r="G262" s="670"/>
      <c r="H262" s="676">
        <f>IFERROR(H261/H258,0)</f>
        <v>0</v>
      </c>
      <c r="I262" s="672" t="s">
        <v>217</v>
      </c>
    </row>
    <row r="263" spans="2:9">
      <c r="B263" s="1137" t="s">
        <v>239</v>
      </c>
      <c r="C263" s="1138"/>
      <c r="D263" s="906"/>
      <c r="E263" s="336"/>
      <c r="F263" s="336"/>
      <c r="G263" s="337"/>
      <c r="H263" s="338">
        <f>IFERROR(H261/H257,0)</f>
        <v>0</v>
      </c>
      <c r="I263" s="339" t="s">
        <v>217</v>
      </c>
    </row>
    <row r="264" spans="2:9">
      <c r="B264" s="1134" t="s">
        <v>239</v>
      </c>
      <c r="C264" s="1135"/>
      <c r="D264" s="904"/>
      <c r="E264" s="669"/>
      <c r="F264" s="669"/>
      <c r="G264" s="670"/>
      <c r="H264" s="676">
        <f>H263/3.6</f>
        <v>0</v>
      </c>
      <c r="I264" s="672" t="s">
        <v>240</v>
      </c>
    </row>
    <row r="267" spans="2:9" ht="25.5">
      <c r="B267" s="1139">
        <v>9</v>
      </c>
      <c r="C267" s="1126" t="s">
        <v>203</v>
      </c>
      <c r="D267" s="1127"/>
      <c r="E267" s="966" t="s">
        <v>204</v>
      </c>
    </row>
    <row r="268" spans="2:9">
      <c r="B268" s="1140"/>
      <c r="C268" s="1128"/>
      <c r="D268" s="1129"/>
      <c r="E268" s="661"/>
    </row>
    <row r="269" spans="2:9">
      <c r="B269" s="334"/>
      <c r="C269" s="334"/>
      <c r="D269" s="334"/>
      <c r="E269" s="334"/>
    </row>
    <row r="270" spans="2:9" ht="45" customHeight="1">
      <c r="B270" s="691" t="s">
        <v>66</v>
      </c>
      <c r="C270" s="1130" t="s">
        <v>213</v>
      </c>
      <c r="D270" s="1131"/>
      <c r="E270" s="1141" t="s">
        <v>214</v>
      </c>
      <c r="F270" s="1141"/>
      <c r="G270" s="1141"/>
      <c r="H270" s="1148" t="s">
        <v>215</v>
      </c>
      <c r="I270" s="1148"/>
    </row>
    <row r="271" spans="2:9" ht="65.099999999999994" customHeight="1">
      <c r="B271" s="664" t="s">
        <v>216</v>
      </c>
      <c r="C271" s="1132"/>
      <c r="D271" s="1133"/>
      <c r="E271" s="1123"/>
      <c r="F271" s="1123"/>
      <c r="G271" s="1123"/>
      <c r="H271" s="665" cm="1">
        <f t="array" ref="H271">IFERROR(_xlfn.IFS($C271=Biblioteca.Minergie.Paquetes[[#Headers],[Biblioteca.Minergie.Paquetes]],VLOOKUP(E271,Tabla2[#All],2,0),$C271=Biblioteca.Personal.Paquetes[[#Headers],[Biblioteca.Personal.Paquetes]],VLOOKUP(E271,Tabla510[#All],2,0)),0)</f>
        <v>0</v>
      </c>
      <c r="I271" s="666" t="s">
        <v>217</v>
      </c>
    </row>
    <row r="272" spans="2:9" ht="65.099999999999994" customHeight="1">
      <c r="B272" s="664" t="s">
        <v>218</v>
      </c>
      <c r="C272" s="1132"/>
      <c r="D272" s="1133"/>
      <c r="E272" s="1123"/>
      <c r="F272" s="1123"/>
      <c r="G272" s="1123"/>
      <c r="H272" s="665" cm="1">
        <f t="array" ref="H272">IFERROR(_xlfn.IFS($C272=Biblioteca.Minergie.Paquetes[[#Headers],[Biblioteca.Minergie.Paquetes]],VLOOKUP(E272,Tabla2[#All],2,0),$C272=Biblioteca.Personal.Paquetes[[#Headers],[Biblioteca.Personal.Paquetes]],VLOOKUP(E272,Tabla510[#All],2,0)),0)</f>
        <v>0</v>
      </c>
      <c r="I272" s="666" t="s">
        <v>217</v>
      </c>
    </row>
    <row r="273" spans="2:9" ht="65.099999999999994" customHeight="1">
      <c r="B273" s="673" t="s">
        <v>219</v>
      </c>
      <c r="C273" s="1132"/>
      <c r="D273" s="1133"/>
      <c r="E273" s="1123"/>
      <c r="F273" s="1123"/>
      <c r="G273" s="1123"/>
      <c r="H273" s="665" cm="1">
        <f t="array" ref="H273">IFERROR(_xlfn.IFS($C273=Biblioteca.Minergie.Paquetes[[#Headers],[Biblioteca.Minergie.Paquetes]],VLOOKUP(E273,Tabla2[#All],2,0),$C273=Biblioteca.Personal.Paquetes[[#Headers],[Biblioteca.Personal.Paquetes]],VLOOKUP(E273,Tabla510[#All],2,0)),0)</f>
        <v>0</v>
      </c>
      <c r="I273" s="666" t="s">
        <v>217</v>
      </c>
    </row>
    <row r="274" spans="2:9" ht="65.099999999999994" customHeight="1">
      <c r="B274" s="673" t="s">
        <v>220</v>
      </c>
      <c r="C274" s="1132"/>
      <c r="D274" s="1133"/>
      <c r="E274" s="1123"/>
      <c r="F274" s="1123"/>
      <c r="G274" s="1123"/>
      <c r="H274" s="665" cm="1">
        <f t="array" ref="H274">IFERROR(_xlfn.IFS($C274=Biblioteca.Minergie.Paquetes[[#Headers],[Biblioteca.Minergie.Paquetes]],VLOOKUP(E274,Tabla2[#All],2,0),$C274=Biblioteca.Personal.Paquetes[[#Headers],[Biblioteca.Personal.Paquetes]],VLOOKUP(E274,Tabla510[#All],2,0)),0)</f>
        <v>0</v>
      </c>
      <c r="I274" s="666" t="s">
        <v>217</v>
      </c>
    </row>
    <row r="275" spans="2:9" ht="65.099999999999994" customHeight="1">
      <c r="B275" s="673" t="s">
        <v>221</v>
      </c>
      <c r="C275" s="1132"/>
      <c r="D275" s="1133"/>
      <c r="E275" s="1153"/>
      <c r="F275" s="1154"/>
      <c r="G275" s="1155"/>
      <c r="H275" s="665" cm="1">
        <f t="array" ref="H275">IFERROR(_xlfn.IFS($C275=Biblioteca.Minergie.Paquetes[[#Headers],[Biblioteca.Minergie.Paquetes]],VLOOKUP(E275,Tabla2[#All],2,0),$C275=Biblioteca.Personal.Paquetes[[#Headers],[Biblioteca.Personal.Paquetes]],VLOOKUP(E275,Tabla510[#All],2,0)),0)</f>
        <v>0</v>
      </c>
      <c r="I275" s="666" t="s">
        <v>217</v>
      </c>
    </row>
    <row r="276" spans="2:9" ht="27" customHeight="1">
      <c r="B276" s="1136" t="s">
        <v>222</v>
      </c>
      <c r="C276" s="1136"/>
      <c r="D276" s="1136"/>
      <c r="E276" s="1136"/>
      <c r="F276" s="1136"/>
      <c r="G276" s="1136"/>
    </row>
    <row r="278" spans="2:9">
      <c r="B278" s="692" t="s">
        <v>223</v>
      </c>
      <c r="C278" s="692"/>
      <c r="D278" s="692"/>
      <c r="E278" s="692"/>
      <c r="F278" s="667"/>
      <c r="G278" s="668"/>
      <c r="H278" s="667"/>
      <c r="I278" s="668"/>
    </row>
    <row r="279" spans="2:9">
      <c r="B279" s="1134" t="s">
        <v>224</v>
      </c>
      <c r="C279" s="1135"/>
      <c r="D279" s="904"/>
      <c r="E279" s="669"/>
      <c r="F279" s="669"/>
      <c r="G279" s="670"/>
      <c r="H279" s="671">
        <f>E268</f>
        <v>0</v>
      </c>
      <c r="I279" s="672" t="s">
        <v>6</v>
      </c>
    </row>
    <row r="280" spans="2:9">
      <c r="B280" s="1134" t="s">
        <v>226</v>
      </c>
      <c r="C280" s="1135"/>
      <c r="D280" s="904"/>
      <c r="E280" s="669"/>
      <c r="F280" s="669"/>
      <c r="G280" s="670"/>
      <c r="H280" s="671">
        <f>E268</f>
        <v>0</v>
      </c>
      <c r="I280" s="672" t="s">
        <v>6</v>
      </c>
    </row>
    <row r="281" spans="2:9" ht="12.6" customHeight="1">
      <c r="B281" s="1124" t="s">
        <v>227</v>
      </c>
      <c r="C281" s="1125"/>
      <c r="D281" s="905"/>
      <c r="E281" s="674"/>
      <c r="F281" s="669"/>
      <c r="G281" s="670"/>
      <c r="H281" s="675">
        <f>C17</f>
        <v>0</v>
      </c>
      <c r="I281" s="672" t="s">
        <v>6</v>
      </c>
    </row>
    <row r="282" spans="2:9">
      <c r="B282" s="1124" t="s">
        <v>229</v>
      </c>
      <c r="C282" s="1125"/>
      <c r="D282" s="905"/>
      <c r="E282" s="674"/>
      <c r="F282" s="669"/>
      <c r="G282" s="670"/>
      <c r="H282" s="675">
        <f>D17</f>
        <v>0</v>
      </c>
      <c r="I282" s="672" t="s">
        <v>6</v>
      </c>
    </row>
    <row r="283" spans="2:9">
      <c r="B283" s="1134" t="s">
        <v>230</v>
      </c>
      <c r="C283" s="1135"/>
      <c r="D283" s="904"/>
      <c r="E283" s="669"/>
      <c r="F283" s="669"/>
      <c r="G283" s="670"/>
      <c r="H283" s="675">
        <f>IFERROR(VLOOKUP($C$268,Tabla611[#All],4,FALSE)-H173,0)</f>
        <v>0</v>
      </c>
      <c r="I283" s="672" t="s">
        <v>6</v>
      </c>
    </row>
    <row r="284" spans="2:9">
      <c r="B284" s="1134" t="s">
        <v>232</v>
      </c>
      <c r="C284" s="1135"/>
      <c r="D284" s="904"/>
      <c r="E284" s="669"/>
      <c r="F284" s="669"/>
      <c r="G284" s="670"/>
      <c r="H284" s="671">
        <f>E268</f>
        <v>0</v>
      </c>
      <c r="I284" s="672" t="s">
        <v>6</v>
      </c>
    </row>
    <row r="285" spans="2:9">
      <c r="B285" s="1134" t="s">
        <v>233</v>
      </c>
      <c r="C285" s="1135"/>
      <c r="D285" s="904"/>
      <c r="E285" s="669"/>
      <c r="F285" s="669"/>
      <c r="G285" s="670"/>
      <c r="H285" s="965">
        <f>H279+H280+H281+H282+H283</f>
        <v>0</v>
      </c>
      <c r="I285" s="672" t="s">
        <v>6</v>
      </c>
    </row>
    <row r="287" spans="2:9">
      <c r="B287" s="692" t="s">
        <v>235</v>
      </c>
      <c r="C287" s="692"/>
      <c r="D287" s="692"/>
      <c r="E287" s="692"/>
      <c r="F287" s="667"/>
      <c r="G287" s="668"/>
      <c r="H287" s="667"/>
      <c r="I287" s="668"/>
    </row>
    <row r="288" spans="2:9">
      <c r="B288" s="1134" t="s">
        <v>236</v>
      </c>
      <c r="C288" s="1135"/>
      <c r="D288" s="904"/>
      <c r="E288" s="669"/>
      <c r="F288" s="669"/>
      <c r="G288" s="670"/>
      <c r="H288" s="671">
        <f>H279*H271+H280*H272+H281*H273+H274*H282+H283*H275</f>
        <v>0</v>
      </c>
      <c r="I288" s="672" t="s">
        <v>237</v>
      </c>
    </row>
    <row r="289" spans="2:9">
      <c r="B289" s="1134" t="s">
        <v>238</v>
      </c>
      <c r="C289" s="1135"/>
      <c r="D289" s="904"/>
      <c r="E289" s="669"/>
      <c r="F289" s="669"/>
      <c r="G289" s="670"/>
      <c r="H289" s="676">
        <f>IFERROR(H288/H285,0)</f>
        <v>0</v>
      </c>
      <c r="I289" s="672" t="s">
        <v>217</v>
      </c>
    </row>
    <row r="290" spans="2:9">
      <c r="B290" s="1137" t="s">
        <v>239</v>
      </c>
      <c r="C290" s="1138"/>
      <c r="D290" s="906"/>
      <c r="E290" s="336"/>
      <c r="F290" s="336"/>
      <c r="G290" s="337"/>
      <c r="H290" s="338">
        <f>IFERROR(H288/H284,0)</f>
        <v>0</v>
      </c>
      <c r="I290" s="339" t="s">
        <v>217</v>
      </c>
    </row>
    <row r="291" spans="2:9">
      <c r="B291" s="1134" t="s">
        <v>239</v>
      </c>
      <c r="C291" s="1135"/>
      <c r="D291" s="904"/>
      <c r="E291" s="669"/>
      <c r="F291" s="669"/>
      <c r="G291" s="670"/>
      <c r="H291" s="676">
        <f>H290/3.6</f>
        <v>0</v>
      </c>
      <c r="I291" s="672" t="s">
        <v>240</v>
      </c>
    </row>
    <row r="294" spans="2:9" ht="25.5">
      <c r="B294" s="1139">
        <v>10</v>
      </c>
      <c r="C294" s="1126" t="s">
        <v>203</v>
      </c>
      <c r="D294" s="1127"/>
      <c r="E294" s="966" t="s">
        <v>204</v>
      </c>
    </row>
    <row r="295" spans="2:9">
      <c r="B295" s="1140"/>
      <c r="C295" s="1128"/>
      <c r="D295" s="1129"/>
      <c r="E295" s="661"/>
    </row>
    <row r="296" spans="2:9">
      <c r="B296" s="334"/>
      <c r="C296" s="334"/>
      <c r="D296" s="334"/>
      <c r="E296" s="334"/>
    </row>
    <row r="297" spans="2:9" ht="45" customHeight="1">
      <c r="B297" s="691" t="s">
        <v>66</v>
      </c>
      <c r="C297" s="1130" t="s">
        <v>213</v>
      </c>
      <c r="D297" s="1131"/>
      <c r="E297" s="1141" t="s">
        <v>214</v>
      </c>
      <c r="F297" s="1141"/>
      <c r="G297" s="1141"/>
      <c r="H297" s="1148" t="s">
        <v>215</v>
      </c>
      <c r="I297" s="1148"/>
    </row>
    <row r="298" spans="2:9" ht="65.099999999999994" customHeight="1">
      <c r="B298" s="664" t="s">
        <v>216</v>
      </c>
      <c r="C298" s="1132"/>
      <c r="D298" s="1133"/>
      <c r="E298" s="1123"/>
      <c r="F298" s="1123"/>
      <c r="G298" s="1123"/>
      <c r="H298" s="665" cm="1">
        <f t="array" ref="H298">IFERROR(_xlfn.IFS($C298=Biblioteca.Minergie.Paquetes[[#Headers],[Biblioteca.Minergie.Paquetes]],VLOOKUP(E298,Tabla2[#All],2,0),$C298=Biblioteca.Personal.Paquetes[[#Headers],[Biblioteca.Personal.Paquetes]],VLOOKUP(E298,Tabla510[#All],2,0)),0)</f>
        <v>0</v>
      </c>
      <c r="I298" s="666" t="s">
        <v>217</v>
      </c>
    </row>
    <row r="299" spans="2:9" ht="65.099999999999994" customHeight="1">
      <c r="B299" s="664" t="s">
        <v>218</v>
      </c>
      <c r="C299" s="1132"/>
      <c r="D299" s="1133"/>
      <c r="E299" s="1123"/>
      <c r="F299" s="1123"/>
      <c r="G299" s="1123"/>
      <c r="H299" s="665" cm="1">
        <f t="array" ref="H299">IFERROR(_xlfn.IFS($C299=Biblioteca.Minergie.Paquetes[[#Headers],[Biblioteca.Minergie.Paquetes]],VLOOKUP(E299,Tabla2[#All],2,0),$C299=Biblioteca.Personal.Paquetes[[#Headers],[Biblioteca.Personal.Paquetes]],VLOOKUP(E299,Tabla510[#All],2,0)),0)</f>
        <v>0</v>
      </c>
      <c r="I299" s="666" t="s">
        <v>217</v>
      </c>
    </row>
    <row r="300" spans="2:9" ht="65.099999999999994" customHeight="1">
      <c r="B300" s="673" t="s">
        <v>219</v>
      </c>
      <c r="C300" s="1132"/>
      <c r="D300" s="1133"/>
      <c r="E300" s="1123"/>
      <c r="F300" s="1123"/>
      <c r="G300" s="1123"/>
      <c r="H300" s="665" cm="1">
        <f t="array" ref="H300">IFERROR(_xlfn.IFS($C300=Biblioteca.Minergie.Paquetes[[#Headers],[Biblioteca.Minergie.Paquetes]],VLOOKUP(E300,Tabla2[#All],2,0),$C300=Biblioteca.Personal.Paquetes[[#Headers],[Biblioteca.Personal.Paquetes]],VLOOKUP(E300,Tabla510[#All],2,0)),0)</f>
        <v>0</v>
      </c>
      <c r="I300" s="666" t="s">
        <v>217</v>
      </c>
    </row>
    <row r="301" spans="2:9" ht="65.099999999999994" customHeight="1">
      <c r="B301" s="673" t="s">
        <v>220</v>
      </c>
      <c r="C301" s="1132" t="s">
        <v>243</v>
      </c>
      <c r="D301" s="1133"/>
      <c r="E301" s="1123" t="s">
        <v>244</v>
      </c>
      <c r="F301" s="1123"/>
      <c r="G301" s="1123"/>
      <c r="H301" s="665" cm="1">
        <f t="array" ref="H301">IFERROR(_xlfn.IFS($C301=Biblioteca.Minergie.Paquetes[[#Headers],[Biblioteca.Minergie.Paquetes]],VLOOKUP(E301,Tabla2[#All],2,0),$C301=Biblioteca.Personal.Paquetes[[#Headers],[Biblioteca.Personal.Paquetes]],VLOOKUP(E301,Tabla510[#All],2,0)),0)</f>
        <v>0</v>
      </c>
      <c r="I301" s="666" t="s">
        <v>217</v>
      </c>
    </row>
    <row r="302" spans="2:9" ht="65.099999999999994" customHeight="1">
      <c r="B302" s="673" t="s">
        <v>221</v>
      </c>
      <c r="C302" s="1132"/>
      <c r="D302" s="1133"/>
      <c r="E302" s="1123"/>
      <c r="F302" s="1123"/>
      <c r="G302" s="1123"/>
      <c r="H302" s="665" cm="1">
        <f t="array" ref="H302">IFERROR(_xlfn.IFS($C302=Biblioteca.Minergie.Paquetes[[#Headers],[Biblioteca.Minergie.Paquetes]],VLOOKUP(E302,Tabla2[#All],2,0),$C302=Biblioteca.Personal.Paquetes[[#Headers],[Biblioteca.Personal.Paquetes]],VLOOKUP(E302,Tabla510[#All],2,0)),0)</f>
        <v>0</v>
      </c>
      <c r="I302" s="666" t="s">
        <v>217</v>
      </c>
    </row>
    <row r="303" spans="2:9" ht="28.35" customHeight="1">
      <c r="B303" s="1136" t="s">
        <v>222</v>
      </c>
      <c r="C303" s="1136"/>
      <c r="D303" s="1136"/>
      <c r="E303" s="1136"/>
      <c r="F303" s="1136"/>
      <c r="G303" s="1136"/>
    </row>
    <row r="305" spans="2:9">
      <c r="B305" s="692" t="s">
        <v>223</v>
      </c>
      <c r="C305" s="692"/>
      <c r="D305" s="692"/>
      <c r="E305" s="692"/>
      <c r="F305" s="667"/>
      <c r="G305" s="668"/>
      <c r="H305" s="667"/>
      <c r="I305" s="668"/>
    </row>
    <row r="306" spans="2:9">
      <c r="B306" s="1134" t="s">
        <v>224</v>
      </c>
      <c r="C306" s="1135"/>
      <c r="D306" s="904"/>
      <c r="E306" s="669"/>
      <c r="F306" s="669"/>
      <c r="G306" s="670"/>
      <c r="H306" s="671">
        <f>E295</f>
        <v>0</v>
      </c>
      <c r="I306" s="672" t="s">
        <v>6</v>
      </c>
    </row>
    <row r="307" spans="2:9">
      <c r="B307" s="1134" t="s">
        <v>226</v>
      </c>
      <c r="C307" s="1135"/>
      <c r="D307" s="904"/>
      <c r="E307" s="669"/>
      <c r="F307" s="669"/>
      <c r="G307" s="670"/>
      <c r="H307" s="671">
        <f>E295</f>
        <v>0</v>
      </c>
      <c r="I307" s="672" t="s">
        <v>6</v>
      </c>
    </row>
    <row r="308" spans="2:9" ht="12.6" customHeight="1">
      <c r="B308" s="1124" t="s">
        <v>227</v>
      </c>
      <c r="C308" s="1125"/>
      <c r="D308" s="905"/>
      <c r="E308" s="674"/>
      <c r="F308" s="669"/>
      <c r="G308" s="670"/>
      <c r="H308" s="675">
        <f>C18</f>
        <v>0</v>
      </c>
      <c r="I308" s="672" t="s">
        <v>6</v>
      </c>
    </row>
    <row r="309" spans="2:9">
      <c r="B309" s="1124" t="s">
        <v>229</v>
      </c>
      <c r="C309" s="1125"/>
      <c r="D309" s="905"/>
      <c r="E309" s="674"/>
      <c r="F309" s="669"/>
      <c r="G309" s="670"/>
      <c r="H309" s="675">
        <f>D18</f>
        <v>0</v>
      </c>
      <c r="I309" s="672" t="s">
        <v>6</v>
      </c>
    </row>
    <row r="310" spans="2:9">
      <c r="B310" s="1134" t="s">
        <v>230</v>
      </c>
      <c r="C310" s="1135"/>
      <c r="D310" s="904"/>
      <c r="E310" s="669"/>
      <c r="F310" s="669"/>
      <c r="G310" s="670"/>
      <c r="H310" s="675">
        <f>IFERROR(VLOOKUP($C$295,Tabla611[#All],4,FALSE)-H200,0)</f>
        <v>0</v>
      </c>
      <c r="I310" s="672" t="s">
        <v>6</v>
      </c>
    </row>
    <row r="311" spans="2:9">
      <c r="B311" s="1134" t="s">
        <v>232</v>
      </c>
      <c r="C311" s="1135"/>
      <c r="D311" s="904"/>
      <c r="E311" s="669"/>
      <c r="F311" s="669"/>
      <c r="G311" s="670"/>
      <c r="H311" s="671">
        <f>E295</f>
        <v>0</v>
      </c>
      <c r="I311" s="672" t="s">
        <v>6</v>
      </c>
    </row>
    <row r="312" spans="2:9">
      <c r="B312" s="1134" t="s">
        <v>233</v>
      </c>
      <c r="C312" s="1135"/>
      <c r="D312" s="904"/>
      <c r="E312" s="669"/>
      <c r="F312" s="669"/>
      <c r="G312" s="670"/>
      <c r="H312" s="965">
        <f>H306+H307+H308+H309+H310</f>
        <v>0</v>
      </c>
      <c r="I312" s="672" t="s">
        <v>6</v>
      </c>
    </row>
    <row r="314" spans="2:9">
      <c r="B314" s="692" t="s">
        <v>235</v>
      </c>
      <c r="C314" s="692"/>
      <c r="D314" s="692"/>
      <c r="E314" s="692"/>
      <c r="F314" s="667"/>
      <c r="G314" s="668"/>
      <c r="H314" s="667"/>
      <c r="I314" s="668"/>
    </row>
    <row r="315" spans="2:9">
      <c r="B315" s="1134" t="s">
        <v>236</v>
      </c>
      <c r="C315" s="1135"/>
      <c r="D315" s="904"/>
      <c r="E315" s="669"/>
      <c r="F315" s="669"/>
      <c r="G315" s="670"/>
      <c r="H315" s="671">
        <f>H306*H298+H307*H299+H308*H300+H301*H309+H310*H302</f>
        <v>0</v>
      </c>
      <c r="I315" s="672" t="s">
        <v>237</v>
      </c>
    </row>
    <row r="316" spans="2:9">
      <c r="B316" s="1134" t="s">
        <v>238</v>
      </c>
      <c r="C316" s="1135"/>
      <c r="D316" s="904"/>
      <c r="E316" s="669"/>
      <c r="F316" s="669"/>
      <c r="G316" s="670"/>
      <c r="H316" s="676">
        <f>IFERROR(H315/H312,0)</f>
        <v>0</v>
      </c>
      <c r="I316" s="672" t="s">
        <v>217</v>
      </c>
    </row>
    <row r="317" spans="2:9">
      <c r="B317" s="1137" t="s">
        <v>239</v>
      </c>
      <c r="C317" s="1138"/>
      <c r="D317" s="906"/>
      <c r="E317" s="336"/>
      <c r="F317" s="336"/>
      <c r="G317" s="337"/>
      <c r="H317" s="338">
        <f>IFERROR(H315/H311,0)</f>
        <v>0</v>
      </c>
      <c r="I317" s="339" t="s">
        <v>217</v>
      </c>
    </row>
    <row r="318" spans="2:9">
      <c r="B318" s="1134" t="s">
        <v>239</v>
      </c>
      <c r="C318" s="1135"/>
      <c r="D318" s="904"/>
      <c r="E318" s="669"/>
      <c r="F318" s="669"/>
      <c r="G318" s="670"/>
      <c r="H318" s="676">
        <f>H317/3.6</f>
        <v>0</v>
      </c>
      <c r="I318" s="672" t="s">
        <v>240</v>
      </c>
    </row>
  </sheetData>
  <sheetProtection algorithmName="SHA-512" hashValue="ZvClWfkYj92ns9I7XDxHfij+tcPLfo4ocT39aeB7hlkorrQWcu/lHO6R+fX4Qznl0t6aIloAC6x7lMy4KWhO3g==" saltValue="v9u+/3UjYMpY5oIouR09ZQ==" spinCount="100000" sheet="1" objects="1" scenarios="1"/>
  <mergeCells count="301">
    <mergeCell ref="B3:E3"/>
    <mergeCell ref="C27:F27"/>
    <mergeCell ref="C28:F28"/>
    <mergeCell ref="C29:F29"/>
    <mergeCell ref="C30:F30"/>
    <mergeCell ref="C31:F31"/>
    <mergeCell ref="C32:F32"/>
    <mergeCell ref="C33:F33"/>
    <mergeCell ref="L46:M46"/>
    <mergeCell ref="B7:E7"/>
    <mergeCell ref="G7:H7"/>
    <mergeCell ref="C46:D46"/>
    <mergeCell ref="O8:U18"/>
    <mergeCell ref="L7:M9"/>
    <mergeCell ref="B23:F23"/>
    <mergeCell ref="O7:U7"/>
    <mergeCell ref="C24:F24"/>
    <mergeCell ref="C25:F25"/>
    <mergeCell ref="C26:F26"/>
    <mergeCell ref="B318:C318"/>
    <mergeCell ref="B306:C306"/>
    <mergeCell ref="B307:C307"/>
    <mergeCell ref="B308:C308"/>
    <mergeCell ref="B310:C310"/>
    <mergeCell ref="B311:C311"/>
    <mergeCell ref="B312:C312"/>
    <mergeCell ref="B315:C315"/>
    <mergeCell ref="B316:C316"/>
    <mergeCell ref="B291:C291"/>
    <mergeCell ref="B294:B295"/>
    <mergeCell ref="E297:G297"/>
    <mergeCell ref="H297:I297"/>
    <mergeCell ref="E298:G298"/>
    <mergeCell ref="E299:G299"/>
    <mergeCell ref="E300:G300"/>
    <mergeCell ref="E302:G302"/>
    <mergeCell ref="B317:C317"/>
    <mergeCell ref="B303:G303"/>
    <mergeCell ref="B280:C280"/>
    <mergeCell ref="B281:C281"/>
    <mergeCell ref="B283:C283"/>
    <mergeCell ref="B284:C284"/>
    <mergeCell ref="B285:C285"/>
    <mergeCell ref="B288:C288"/>
    <mergeCell ref="B289:C289"/>
    <mergeCell ref="C294:D294"/>
    <mergeCell ref="C295:D295"/>
    <mergeCell ref="C297:D297"/>
    <mergeCell ref="C298:D298"/>
    <mergeCell ref="C299:D299"/>
    <mergeCell ref="C300:D300"/>
    <mergeCell ref="C302:D302"/>
    <mergeCell ref="C301:D301"/>
    <mergeCell ref="E301:G301"/>
    <mergeCell ref="B309:C309"/>
    <mergeCell ref="B276:G276"/>
    <mergeCell ref="B290:C290"/>
    <mergeCell ref="B264:C264"/>
    <mergeCell ref="B267:B268"/>
    <mergeCell ref="E270:G270"/>
    <mergeCell ref="H270:I270"/>
    <mergeCell ref="E271:G271"/>
    <mergeCell ref="E272:G272"/>
    <mergeCell ref="E273:G273"/>
    <mergeCell ref="E275:G275"/>
    <mergeCell ref="B279:C279"/>
    <mergeCell ref="C267:D267"/>
    <mergeCell ref="C268:D268"/>
    <mergeCell ref="C270:D270"/>
    <mergeCell ref="C271:D271"/>
    <mergeCell ref="C272:D272"/>
    <mergeCell ref="C273:D273"/>
    <mergeCell ref="C275:D275"/>
    <mergeCell ref="C274:D274"/>
    <mergeCell ref="E274:G274"/>
    <mergeCell ref="B282:C282"/>
    <mergeCell ref="B253:C253"/>
    <mergeCell ref="B254:C254"/>
    <mergeCell ref="B256:C256"/>
    <mergeCell ref="B257:C257"/>
    <mergeCell ref="B258:C258"/>
    <mergeCell ref="B261:C261"/>
    <mergeCell ref="B262:C262"/>
    <mergeCell ref="B249:G249"/>
    <mergeCell ref="B263:C263"/>
    <mergeCell ref="B255:C255"/>
    <mergeCell ref="E244:G244"/>
    <mergeCell ref="E245:G245"/>
    <mergeCell ref="E246:G246"/>
    <mergeCell ref="E248:G248"/>
    <mergeCell ref="B252:C252"/>
    <mergeCell ref="C240:D240"/>
    <mergeCell ref="C241:D241"/>
    <mergeCell ref="C243:D243"/>
    <mergeCell ref="C244:D244"/>
    <mergeCell ref="C245:D245"/>
    <mergeCell ref="C246:D246"/>
    <mergeCell ref="C248:D248"/>
    <mergeCell ref="C247:D247"/>
    <mergeCell ref="E247:G247"/>
    <mergeCell ref="B229:C229"/>
    <mergeCell ref="B234:C234"/>
    <mergeCell ref="B235:C235"/>
    <mergeCell ref="B236:C236"/>
    <mergeCell ref="B228:C228"/>
    <mergeCell ref="B237:C237"/>
    <mergeCell ref="B240:B241"/>
    <mergeCell ref="E243:G243"/>
    <mergeCell ref="H243:I243"/>
    <mergeCell ref="E81:G81"/>
    <mergeCell ref="H81:I81"/>
    <mergeCell ref="B45:B46"/>
    <mergeCell ref="B78:B79"/>
    <mergeCell ref="E53:G53"/>
    <mergeCell ref="H53:I53"/>
    <mergeCell ref="E54:G54"/>
    <mergeCell ref="B63:C63"/>
    <mergeCell ref="B64:C64"/>
    <mergeCell ref="B66:C66"/>
    <mergeCell ref="B67:C67"/>
    <mergeCell ref="B68:C68"/>
    <mergeCell ref="E55:G55"/>
    <mergeCell ref="E56:G56"/>
    <mergeCell ref="E58:G58"/>
    <mergeCell ref="B62:C62"/>
    <mergeCell ref="B72:C72"/>
    <mergeCell ref="B73:C73"/>
    <mergeCell ref="B74:C74"/>
    <mergeCell ref="B75:C75"/>
    <mergeCell ref="B59:G59"/>
    <mergeCell ref="E57:G57"/>
    <mergeCell ref="B65:C65"/>
    <mergeCell ref="C53:D53"/>
    <mergeCell ref="B90:C90"/>
    <mergeCell ref="B91:C91"/>
    <mergeCell ref="B94:C94"/>
    <mergeCell ref="B95:C95"/>
    <mergeCell ref="E82:G82"/>
    <mergeCell ref="E83:G83"/>
    <mergeCell ref="E84:G84"/>
    <mergeCell ref="E86:G86"/>
    <mergeCell ref="B92:C92"/>
    <mergeCell ref="B87:G87"/>
    <mergeCell ref="E85:G85"/>
    <mergeCell ref="C85:D85"/>
    <mergeCell ref="C86:D86"/>
    <mergeCell ref="B93:C93"/>
    <mergeCell ref="E110:G110"/>
    <mergeCell ref="E111:G111"/>
    <mergeCell ref="E113:G113"/>
    <mergeCell ref="B117:C117"/>
    <mergeCell ref="B96:C96"/>
    <mergeCell ref="E108:G108"/>
    <mergeCell ref="H108:I108"/>
    <mergeCell ref="E109:G109"/>
    <mergeCell ref="B99:C99"/>
    <mergeCell ref="B100:C100"/>
    <mergeCell ref="B101:C101"/>
    <mergeCell ref="B102:C102"/>
    <mergeCell ref="B105:B106"/>
    <mergeCell ref="B114:G114"/>
    <mergeCell ref="C106:D106"/>
    <mergeCell ref="E112:G112"/>
    <mergeCell ref="C108:D108"/>
    <mergeCell ref="C109:D109"/>
    <mergeCell ref="C110:D110"/>
    <mergeCell ref="C111:D111"/>
    <mergeCell ref="C112:D112"/>
    <mergeCell ref="C113:D113"/>
    <mergeCell ref="B126:C126"/>
    <mergeCell ref="B127:C127"/>
    <mergeCell ref="B128:C128"/>
    <mergeCell ref="B118:C118"/>
    <mergeCell ref="B119:C119"/>
    <mergeCell ref="B121:C121"/>
    <mergeCell ref="B122:C122"/>
    <mergeCell ref="B123:C123"/>
    <mergeCell ref="B129:C129"/>
    <mergeCell ref="B120:C120"/>
    <mergeCell ref="E137:G137"/>
    <mergeCell ref="E138:G138"/>
    <mergeCell ref="H135:I135"/>
    <mergeCell ref="E140:G140"/>
    <mergeCell ref="B141:G141"/>
    <mergeCell ref="C133:D133"/>
    <mergeCell ref="C135:D135"/>
    <mergeCell ref="C136:D136"/>
    <mergeCell ref="C137:D137"/>
    <mergeCell ref="C138:D138"/>
    <mergeCell ref="C140:D140"/>
    <mergeCell ref="C139:D139"/>
    <mergeCell ref="E139:G139"/>
    <mergeCell ref="B222:G222"/>
    <mergeCell ref="H162:I162"/>
    <mergeCell ref="B171:C171"/>
    <mergeCell ref="B172:C172"/>
    <mergeCell ref="B173:C173"/>
    <mergeCell ref="B175:C175"/>
    <mergeCell ref="B176:C176"/>
    <mergeCell ref="E163:G163"/>
    <mergeCell ref="E164:G164"/>
    <mergeCell ref="E165:G165"/>
    <mergeCell ref="E167:G167"/>
    <mergeCell ref="B168:G168"/>
    <mergeCell ref="H189:I189"/>
    <mergeCell ref="E191:G191"/>
    <mergeCell ref="E192:G192"/>
    <mergeCell ref="E194:G194"/>
    <mergeCell ref="B203:C203"/>
    <mergeCell ref="B207:C207"/>
    <mergeCell ref="B208:C208"/>
    <mergeCell ref="B209:C209"/>
    <mergeCell ref="B202:C202"/>
    <mergeCell ref="B204:C204"/>
    <mergeCell ref="E162:G162"/>
    <mergeCell ref="H216:I216"/>
    <mergeCell ref="L52:M52"/>
    <mergeCell ref="L62:M62"/>
    <mergeCell ref="L63:M63"/>
    <mergeCell ref="L66:M66"/>
    <mergeCell ref="L64:N64"/>
    <mergeCell ref="L68:N70"/>
    <mergeCell ref="B210:C210"/>
    <mergeCell ref="B213:B214"/>
    <mergeCell ref="B231:C231"/>
    <mergeCell ref="B225:C225"/>
    <mergeCell ref="B226:C226"/>
    <mergeCell ref="B227:C227"/>
    <mergeCell ref="B230:C230"/>
    <mergeCell ref="E216:G216"/>
    <mergeCell ref="B177:C177"/>
    <mergeCell ref="B181:C181"/>
    <mergeCell ref="B182:C182"/>
    <mergeCell ref="B183:C183"/>
    <mergeCell ref="B186:B187"/>
    <mergeCell ref="E189:G189"/>
    <mergeCell ref="E190:G190"/>
    <mergeCell ref="B180:C180"/>
    <mergeCell ref="B200:C200"/>
    <mergeCell ref="B198:C198"/>
    <mergeCell ref="C54:D54"/>
    <mergeCell ref="C55:D55"/>
    <mergeCell ref="C56:D56"/>
    <mergeCell ref="C57:D57"/>
    <mergeCell ref="C58:D58"/>
    <mergeCell ref="C81:D81"/>
    <mergeCell ref="C82:D82"/>
    <mergeCell ref="C83:D83"/>
    <mergeCell ref="C84:D84"/>
    <mergeCell ref="C79:D79"/>
    <mergeCell ref="B147:C147"/>
    <mergeCell ref="C159:D159"/>
    <mergeCell ref="C160:D160"/>
    <mergeCell ref="C132:D132"/>
    <mergeCell ref="E166:G166"/>
    <mergeCell ref="C162:D162"/>
    <mergeCell ref="C163:D163"/>
    <mergeCell ref="C164:D164"/>
    <mergeCell ref="C165:D165"/>
    <mergeCell ref="C166:D166"/>
    <mergeCell ref="B154:C154"/>
    <mergeCell ref="B148:C148"/>
    <mergeCell ref="B149:C149"/>
    <mergeCell ref="B150:C150"/>
    <mergeCell ref="B153:C153"/>
    <mergeCell ref="B155:C155"/>
    <mergeCell ref="B156:C156"/>
    <mergeCell ref="B159:B160"/>
    <mergeCell ref="B132:B133"/>
    <mergeCell ref="B144:C144"/>
    <mergeCell ref="B145:C145"/>
    <mergeCell ref="B146:C146"/>
    <mergeCell ref="E135:G135"/>
    <mergeCell ref="E136:G136"/>
    <mergeCell ref="C167:D167"/>
    <mergeCell ref="B174:C174"/>
    <mergeCell ref="C186:D186"/>
    <mergeCell ref="C187:D187"/>
    <mergeCell ref="C189:D189"/>
    <mergeCell ref="C190:D190"/>
    <mergeCell ref="C191:D191"/>
    <mergeCell ref="C192:D192"/>
    <mergeCell ref="C194:D194"/>
    <mergeCell ref="C193:D193"/>
    <mergeCell ref="E193:G193"/>
    <mergeCell ref="B201:C201"/>
    <mergeCell ref="C213:D213"/>
    <mergeCell ref="C214:D214"/>
    <mergeCell ref="C216:D216"/>
    <mergeCell ref="C217:D217"/>
    <mergeCell ref="C218:D218"/>
    <mergeCell ref="C219:D219"/>
    <mergeCell ref="C221:D221"/>
    <mergeCell ref="C220:D220"/>
    <mergeCell ref="E220:G220"/>
    <mergeCell ref="B199:C199"/>
    <mergeCell ref="B195:G195"/>
    <mergeCell ref="E217:G217"/>
    <mergeCell ref="E218:G218"/>
    <mergeCell ref="E219:G219"/>
    <mergeCell ref="E221:G221"/>
  </mergeCells>
  <phoneticPr fontId="17" type="noConversion"/>
  <conditionalFormatting sqref="I24:I33">
    <cfRule type="containsText" dxfId="317" priority="1" operator="containsText" text="No cumple">
      <formula>NOT(ISERROR(SEARCH("No cumple",I24)))</formula>
    </cfRule>
    <cfRule type="containsText" dxfId="316" priority="2" operator="containsText" text="Cumple">
      <formula>NOT(ISERROR(SEARCH("Cumple",I24)))</formula>
    </cfRule>
  </conditionalFormatting>
  <dataValidations count="6">
    <dataValidation type="list" allowBlank="1" showInputMessage="1" showErrorMessage="1" sqref="C79 C295 C46 C106 C133 C160 C187 C214 C241 C268" xr:uid="{A7BD27DE-BEC4-4F77-AC28-FFC1F2032093}">
      <formula1>$B$9:$B$18</formula1>
    </dataValidation>
    <dataValidation type="list" allowBlank="1" showInputMessage="1" showErrorMessage="1" sqref="E190:G194 E217:G221 E271:G275 E244:G248 E164:G167 E137:G140 E110:G113 E54:G58 E82:G86 E298:G302" xr:uid="{2330ABCC-E40D-436F-A831-71E4760F8E94}">
      <formula1>INDIRECT($C54)</formula1>
    </dataValidation>
    <dataValidation type="list" allowBlank="1" showInputMessage="1" showErrorMessage="1" sqref="E109:G109" xr:uid="{BC615F4D-C133-4DDE-B5D4-C945D7D965F4}">
      <formula1>INDIRECT($C$109)</formula1>
    </dataValidation>
    <dataValidation type="list" allowBlank="1" showInputMessage="1" showErrorMessage="1" sqref="E136:G136" xr:uid="{AA90A4B1-7835-4418-A25E-6C908E055F32}">
      <formula1>INDIRECT($C$136)</formula1>
    </dataValidation>
    <dataValidation type="list" allowBlank="1" showInputMessage="1" showErrorMessage="1" sqref="E163:G163" xr:uid="{DA6C5EEA-55E8-42A2-A8EA-466F9E4F22CC}">
      <formula1>INDIRECT($C$163)</formula1>
    </dataValidation>
    <dataValidation type="list" allowBlank="1" showInputMessage="1" showErrorMessage="1" sqref="F3" xr:uid="{85578267-A1BF-4C60-B549-243842C693E3}">
      <formula1>"Estructura de madera,Otros"</formula1>
    </dataValidation>
  </dataValidations>
  <pageMargins left="0.7" right="0.7" top="0.98624999999999996" bottom="0.75" header="0.3" footer="0.3"/>
  <pageSetup paperSize="9" scale="81" orientation="landscape" r:id="rId1"/>
  <headerFooter>
    <oddHeader>&amp;L&amp;G</oddHeader>
    <oddFooter>&amp;L&amp;D&amp;R&amp;A</oddFooter>
  </headerFooter>
  <drawing r:id="rId2"/>
  <legacyDrawingHF r:id="rId3"/>
  <tableParts count="2">
    <tablePart r:id="rId4"/>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81EC13BC-CED9-4000-9B49-FAC10ED0DA79}">
          <x14:formula1>
            <xm:f>Paquetes_A4!$J$2:$K$2</xm:f>
          </x14:formula1>
          <xm:sqref>C244:C248 C217:C221 C271:C275 C54:C58 C82:C86 C109:C113 C136:C140 C163:C167 C190:C194 C298:C302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E365-65A7-477C-8A0F-FFDF4AA6D56A}">
  <dimension ref="A1:Q69"/>
  <sheetViews>
    <sheetView showGridLines="0" zoomScaleNormal="100" zoomScalePageLayoutView="80" workbookViewId="0">
      <selection activeCell="C18" sqref="C18"/>
    </sheetView>
  </sheetViews>
  <sheetFormatPr defaultColWidth="8.7109375" defaultRowHeight="12.75"/>
  <cols>
    <col min="1" max="1" width="5.28515625" customWidth="1"/>
    <col min="2" max="2" width="24.5703125" customWidth="1"/>
    <col min="3" max="3" width="23.7109375" style="935" customWidth="1"/>
    <col min="4" max="4" width="14.7109375" style="935" customWidth="1"/>
    <col min="5" max="5" width="23.7109375" style="935" customWidth="1"/>
    <col min="6" max="7" width="20" style="936" customWidth="1"/>
  </cols>
  <sheetData>
    <row r="1" spans="1:17" s="116" customFormat="1" ht="26.85" customHeight="1">
      <c r="A1" s="115" t="s">
        <v>245</v>
      </c>
      <c r="B1" s="116" t="s">
        <v>246</v>
      </c>
      <c r="C1" s="928"/>
      <c r="D1" s="928"/>
      <c r="E1" s="115" t="s">
        <v>4</v>
      </c>
      <c r="F1" s="929"/>
      <c r="G1" s="115" t="s">
        <v>5</v>
      </c>
    </row>
    <row r="2" spans="1:17" s="909" customFormat="1" ht="15">
      <c r="A2" s="908"/>
      <c r="C2" s="930"/>
      <c r="D2" s="930"/>
      <c r="E2" s="908"/>
      <c r="F2" s="931"/>
      <c r="G2" s="908"/>
    </row>
    <row r="3" spans="1:17" s="909" customFormat="1" ht="15">
      <c r="A3" s="908"/>
      <c r="C3" s="930"/>
      <c r="D3" s="930"/>
      <c r="E3" s="908"/>
      <c r="F3" s="931"/>
      <c r="G3" s="908"/>
    </row>
    <row r="4" spans="1:17" s="909" customFormat="1" ht="15.75" thickBot="1">
      <c r="A4" s="908"/>
      <c r="B4" s="922" t="s">
        <v>247</v>
      </c>
      <c r="C4" s="930"/>
      <c r="D4" s="930"/>
      <c r="E4" s="908"/>
      <c r="F4" s="931"/>
      <c r="G4" s="908"/>
    </row>
    <row r="5" spans="1:17" s="909" customFormat="1" ht="24.6" customHeight="1" thickBot="1">
      <c r="A5" s="908"/>
      <c r="B5" s="151" t="s">
        <v>248</v>
      </c>
      <c r="C5" s="1176"/>
      <c r="D5" s="1177"/>
      <c r="E5" s="1177"/>
      <c r="F5" s="1177"/>
      <c r="G5" s="1178"/>
      <c r="I5" s="1174" t="s">
        <v>249</v>
      </c>
      <c r="J5" s="1076"/>
      <c r="K5" s="1076"/>
      <c r="L5" s="1076"/>
      <c r="M5" s="1076"/>
      <c r="N5" s="1076"/>
      <c r="O5" s="1076"/>
      <c r="P5" s="1076"/>
      <c r="Q5" s="1076"/>
    </row>
    <row r="6" spans="1:17" s="909" customFormat="1" ht="15">
      <c r="A6" s="908"/>
      <c r="B6" s="1179" t="s">
        <v>203</v>
      </c>
      <c r="C6" s="1175" t="s">
        <v>250</v>
      </c>
      <c r="D6" s="1175"/>
      <c r="E6" s="1175" t="s">
        <v>251</v>
      </c>
      <c r="F6" s="1175"/>
      <c r="G6" s="1181" t="s">
        <v>177</v>
      </c>
      <c r="I6" s="1076"/>
      <c r="J6" s="1076"/>
      <c r="K6" s="1076"/>
      <c r="L6" s="1076"/>
      <c r="M6" s="1076"/>
      <c r="N6" s="1076"/>
      <c r="O6" s="1076"/>
      <c r="P6" s="1076"/>
      <c r="Q6" s="1076"/>
    </row>
    <row r="7" spans="1:17" s="909" customFormat="1" ht="26.25" thickBot="1">
      <c r="A7" s="908"/>
      <c r="B7" s="1180"/>
      <c r="C7" s="925" t="s">
        <v>252</v>
      </c>
      <c r="D7" s="926" t="s">
        <v>253</v>
      </c>
      <c r="E7" s="925" t="s">
        <v>252</v>
      </c>
      <c r="F7" s="926" t="s">
        <v>253</v>
      </c>
      <c r="G7" s="1182"/>
      <c r="I7" s="1076"/>
      <c r="J7" s="1076"/>
      <c r="K7" s="1076"/>
      <c r="L7" s="1076"/>
      <c r="M7" s="1076"/>
      <c r="N7" s="1076"/>
      <c r="O7" s="1076"/>
      <c r="P7" s="1076"/>
      <c r="Q7" s="1076"/>
    </row>
    <row r="8" spans="1:17" s="909" customFormat="1" ht="15">
      <c r="A8" s="908"/>
      <c r="B8" s="941" t="s">
        <v>254</v>
      </c>
      <c r="C8" s="927"/>
      <c r="D8" s="927"/>
      <c r="E8" s="927"/>
      <c r="F8" s="927" t="s">
        <v>255</v>
      </c>
      <c r="G8" s="938" t="str">
        <f>IF(D8="Si",IF(AND(C8&gt;0%,C8&lt;=50%),"No cumple",IF(AND(C8&gt;=50%,C8&lt;=80%),"Cumple","No cumple")),IF(AND(E8&gt;=5%,E8&lt;=10%),"Cumple",IF(AND(E8&gt;=2%,E8&lt;=5%),"Cumple",IF(AND(E8&lt;=2%,E8&gt;10%),"No cumple","No cumple"))))</f>
        <v>No cumple</v>
      </c>
      <c r="I8" s="1076"/>
      <c r="J8" s="1076"/>
      <c r="K8" s="1076"/>
      <c r="L8" s="1076"/>
      <c r="M8" s="1076"/>
      <c r="N8" s="1076"/>
      <c r="O8" s="1076"/>
      <c r="P8" s="1076"/>
      <c r="Q8" s="1076"/>
    </row>
    <row r="9" spans="1:17" s="909" customFormat="1" ht="15">
      <c r="A9" s="908"/>
      <c r="B9" s="942" t="s">
        <v>256</v>
      </c>
      <c r="C9" s="967"/>
      <c r="D9" s="967"/>
      <c r="E9" s="923"/>
      <c r="F9" s="923"/>
      <c r="G9" s="939" t="str">
        <f t="shared" ref="G9:G27" si="0">IF(D9="Si",IF(AND(C9&gt;0%,C9&lt;=50%),"No cumple",IF(AND(C9&gt;=50%,C9&lt;=80%),"Cumple","No cumple")),IF(AND(E9&gt;=5%,E9&lt;=10%),"Cumple",IF(AND(E9&gt;=2%,E9&lt;=5%),"Cumple",IF(AND(E9&lt;=2%,E9&gt;10%),"No cumple","No cumple"))))</f>
        <v>No cumple</v>
      </c>
      <c r="I9" s="1076"/>
      <c r="J9" s="1076"/>
      <c r="K9" s="1076"/>
      <c r="L9" s="1076"/>
      <c r="M9" s="1076"/>
      <c r="N9" s="1076"/>
      <c r="O9" s="1076"/>
      <c r="P9" s="1076"/>
      <c r="Q9" s="1076"/>
    </row>
    <row r="10" spans="1:17" s="909" customFormat="1" ht="15">
      <c r="A10" s="908"/>
      <c r="B10" s="942" t="s">
        <v>257</v>
      </c>
      <c r="C10" s="923"/>
      <c r="D10" s="923"/>
      <c r="E10" s="923"/>
      <c r="F10" s="923"/>
      <c r="G10" s="939" t="str">
        <f t="shared" si="0"/>
        <v>No cumple</v>
      </c>
      <c r="I10" s="1076"/>
      <c r="J10" s="1076"/>
      <c r="K10" s="1076"/>
      <c r="L10" s="1076"/>
      <c r="M10" s="1076"/>
      <c r="N10" s="1076"/>
      <c r="O10" s="1076"/>
      <c r="P10" s="1076"/>
      <c r="Q10" s="1076"/>
    </row>
    <row r="11" spans="1:17" s="909" customFormat="1" ht="15">
      <c r="A11" s="908"/>
      <c r="B11" s="942" t="s">
        <v>258</v>
      </c>
      <c r="C11" s="923"/>
      <c r="D11" s="923"/>
      <c r="E11" s="923"/>
      <c r="F11" s="923"/>
      <c r="G11" s="939" t="str">
        <f t="shared" si="0"/>
        <v>No cumple</v>
      </c>
      <c r="I11" s="1076"/>
      <c r="J11" s="1076"/>
      <c r="K11" s="1076"/>
      <c r="L11" s="1076"/>
      <c r="M11" s="1076"/>
      <c r="N11" s="1076"/>
      <c r="O11" s="1076"/>
      <c r="P11" s="1076"/>
      <c r="Q11" s="1076"/>
    </row>
    <row r="12" spans="1:17" s="909" customFormat="1" ht="15">
      <c r="A12" s="908"/>
      <c r="B12" s="942" t="s">
        <v>259</v>
      </c>
      <c r="C12" s="923"/>
      <c r="D12" s="923"/>
      <c r="E12" s="923"/>
      <c r="F12" s="923"/>
      <c r="G12" s="939" t="str">
        <f t="shared" si="0"/>
        <v>No cumple</v>
      </c>
      <c r="I12" s="1076"/>
      <c r="J12" s="1076"/>
      <c r="K12" s="1076"/>
      <c r="L12" s="1076"/>
      <c r="M12" s="1076"/>
      <c r="N12" s="1076"/>
      <c r="O12" s="1076"/>
      <c r="P12" s="1076"/>
      <c r="Q12" s="1076"/>
    </row>
    <row r="13" spans="1:17" s="909" customFormat="1" ht="15">
      <c r="A13" s="908"/>
      <c r="B13" s="942" t="s">
        <v>260</v>
      </c>
      <c r="C13" s="923"/>
      <c r="D13" s="923"/>
      <c r="E13" s="923"/>
      <c r="F13" s="923"/>
      <c r="G13" s="939" t="str">
        <f t="shared" si="0"/>
        <v>No cumple</v>
      </c>
      <c r="I13" s="1076"/>
      <c r="J13" s="1076"/>
      <c r="K13" s="1076"/>
      <c r="L13" s="1076"/>
      <c r="M13" s="1076"/>
      <c r="N13" s="1076"/>
      <c r="O13" s="1076"/>
      <c r="P13" s="1076"/>
      <c r="Q13" s="1076"/>
    </row>
    <row r="14" spans="1:17" s="909" customFormat="1" ht="15">
      <c r="A14" s="908"/>
      <c r="B14" s="942" t="s">
        <v>261</v>
      </c>
      <c r="C14" s="923"/>
      <c r="D14" s="923"/>
      <c r="E14" s="923"/>
      <c r="F14" s="923"/>
      <c r="G14" s="939" t="str">
        <f t="shared" si="0"/>
        <v>No cumple</v>
      </c>
      <c r="I14" s="1076"/>
      <c r="J14" s="1076"/>
      <c r="K14" s="1076"/>
      <c r="L14" s="1076"/>
      <c r="M14" s="1076"/>
      <c r="N14" s="1076"/>
      <c r="O14" s="1076"/>
      <c r="P14" s="1076"/>
      <c r="Q14" s="1076"/>
    </row>
    <row r="15" spans="1:17" s="909" customFormat="1" ht="15">
      <c r="A15" s="908"/>
      <c r="B15" s="942" t="s">
        <v>262</v>
      </c>
      <c r="C15" s="923"/>
      <c r="D15" s="923"/>
      <c r="E15" s="923"/>
      <c r="F15" s="923"/>
      <c r="G15" s="939" t="str">
        <f t="shared" si="0"/>
        <v>No cumple</v>
      </c>
      <c r="I15" s="1076"/>
      <c r="J15" s="1076"/>
      <c r="K15" s="1076"/>
      <c r="L15" s="1076"/>
      <c r="M15" s="1076"/>
      <c r="N15" s="1076"/>
      <c r="O15" s="1076"/>
      <c r="P15" s="1076"/>
      <c r="Q15" s="1076"/>
    </row>
    <row r="16" spans="1:17" s="909" customFormat="1" ht="15">
      <c r="A16" s="908"/>
      <c r="B16" s="942" t="s">
        <v>263</v>
      </c>
      <c r="C16" s="923"/>
      <c r="D16" s="923"/>
      <c r="E16" s="923"/>
      <c r="F16" s="923"/>
      <c r="G16" s="939" t="str">
        <f t="shared" si="0"/>
        <v>No cumple</v>
      </c>
      <c r="I16" s="1076"/>
      <c r="J16" s="1076"/>
      <c r="K16" s="1076"/>
      <c r="L16" s="1076"/>
      <c r="M16" s="1076"/>
      <c r="N16" s="1076"/>
      <c r="O16" s="1076"/>
      <c r="P16" s="1076"/>
      <c r="Q16" s="1076"/>
    </row>
    <row r="17" spans="1:17" s="909" customFormat="1" ht="15">
      <c r="A17" s="908"/>
      <c r="B17" s="942" t="s">
        <v>264</v>
      </c>
      <c r="C17" s="923"/>
      <c r="D17" s="923"/>
      <c r="E17" s="923"/>
      <c r="F17" s="923"/>
      <c r="G17" s="939" t="str">
        <f t="shared" si="0"/>
        <v>No cumple</v>
      </c>
      <c r="I17" s="1076"/>
      <c r="J17" s="1076"/>
      <c r="K17" s="1076"/>
      <c r="L17" s="1076"/>
      <c r="M17" s="1076"/>
      <c r="N17" s="1076"/>
      <c r="O17" s="1076"/>
      <c r="P17" s="1076"/>
      <c r="Q17" s="1076"/>
    </row>
    <row r="18" spans="1:17" s="909" customFormat="1" ht="15">
      <c r="A18" s="908"/>
      <c r="B18" s="942" t="s">
        <v>265</v>
      </c>
      <c r="C18" s="923"/>
      <c r="D18" s="923"/>
      <c r="E18" s="923"/>
      <c r="F18" s="923"/>
      <c r="G18" s="939" t="str">
        <f t="shared" si="0"/>
        <v>No cumple</v>
      </c>
      <c r="I18" s="1076"/>
      <c r="J18" s="1076"/>
      <c r="K18" s="1076"/>
      <c r="L18" s="1076"/>
      <c r="M18" s="1076"/>
      <c r="N18" s="1076"/>
      <c r="O18" s="1076"/>
      <c r="P18" s="1076"/>
      <c r="Q18" s="1076"/>
    </row>
    <row r="19" spans="1:17" s="909" customFormat="1" ht="15">
      <c r="A19" s="908"/>
      <c r="B19" s="942" t="s">
        <v>266</v>
      </c>
      <c r="C19" s="923"/>
      <c r="D19" s="923"/>
      <c r="E19" s="923"/>
      <c r="F19" s="923"/>
      <c r="G19" s="939" t="str">
        <f t="shared" si="0"/>
        <v>No cumple</v>
      </c>
      <c r="I19" s="1076"/>
      <c r="J19" s="1076"/>
      <c r="K19" s="1076"/>
      <c r="L19" s="1076"/>
      <c r="M19" s="1076"/>
      <c r="N19" s="1076"/>
      <c r="O19" s="1076"/>
      <c r="P19" s="1076"/>
      <c r="Q19" s="1076"/>
    </row>
    <row r="20" spans="1:17" s="909" customFormat="1" ht="15">
      <c r="A20" s="908"/>
      <c r="B20" s="942" t="s">
        <v>267</v>
      </c>
      <c r="C20" s="923"/>
      <c r="D20" s="923"/>
      <c r="E20" s="923"/>
      <c r="F20" s="923"/>
      <c r="G20" s="939" t="str">
        <f t="shared" si="0"/>
        <v>No cumple</v>
      </c>
      <c r="I20" s="1076"/>
      <c r="J20" s="1076"/>
      <c r="K20" s="1076"/>
      <c r="L20" s="1076"/>
      <c r="M20" s="1076"/>
      <c r="N20" s="1076"/>
      <c r="O20" s="1076"/>
      <c r="P20" s="1076"/>
      <c r="Q20" s="1076"/>
    </row>
    <row r="21" spans="1:17" s="909" customFormat="1" ht="15">
      <c r="A21" s="908"/>
      <c r="B21" s="942" t="s">
        <v>268</v>
      </c>
      <c r="C21" s="923"/>
      <c r="D21" s="923"/>
      <c r="E21" s="923"/>
      <c r="F21" s="923"/>
      <c r="G21" s="939" t="str">
        <f t="shared" si="0"/>
        <v>No cumple</v>
      </c>
      <c r="I21" s="1076"/>
      <c r="J21" s="1076"/>
      <c r="K21" s="1076"/>
      <c r="L21" s="1076"/>
      <c r="M21" s="1076"/>
      <c r="N21" s="1076"/>
      <c r="O21" s="1076"/>
      <c r="P21" s="1076"/>
      <c r="Q21" s="1076"/>
    </row>
    <row r="22" spans="1:17" s="909" customFormat="1" ht="15">
      <c r="A22" s="908"/>
      <c r="B22" s="942" t="s">
        <v>269</v>
      </c>
      <c r="C22" s="923"/>
      <c r="D22" s="923"/>
      <c r="E22" s="923"/>
      <c r="F22" s="923"/>
      <c r="G22" s="939" t="str">
        <f t="shared" si="0"/>
        <v>No cumple</v>
      </c>
      <c r="I22" s="1076"/>
      <c r="J22" s="1076"/>
      <c r="K22" s="1076"/>
      <c r="L22" s="1076"/>
      <c r="M22" s="1076"/>
      <c r="N22" s="1076"/>
      <c r="O22" s="1076"/>
      <c r="P22" s="1076"/>
      <c r="Q22" s="1076"/>
    </row>
    <row r="23" spans="1:17" s="909" customFormat="1" ht="15">
      <c r="A23" s="908"/>
      <c r="B23" s="942" t="s">
        <v>270</v>
      </c>
      <c r="C23" s="923"/>
      <c r="D23" s="923"/>
      <c r="E23" s="923"/>
      <c r="F23" s="923"/>
      <c r="G23" s="939" t="str">
        <f t="shared" si="0"/>
        <v>No cumple</v>
      </c>
      <c r="I23" s="1076"/>
      <c r="J23" s="1076"/>
      <c r="K23" s="1076"/>
      <c r="L23" s="1076"/>
      <c r="M23" s="1076"/>
      <c r="N23" s="1076"/>
      <c r="O23" s="1076"/>
      <c r="P23" s="1076"/>
      <c r="Q23" s="1076"/>
    </row>
    <row r="24" spans="1:17" s="909" customFormat="1" ht="15">
      <c r="A24" s="908"/>
      <c r="B24" s="942" t="s">
        <v>271</v>
      </c>
      <c r="C24" s="923"/>
      <c r="D24" s="923"/>
      <c r="E24" s="923"/>
      <c r="F24" s="923"/>
      <c r="G24" s="939" t="str">
        <f t="shared" si="0"/>
        <v>No cumple</v>
      </c>
      <c r="I24" s="1076"/>
      <c r="J24" s="1076"/>
      <c r="K24" s="1076"/>
      <c r="L24" s="1076"/>
      <c r="M24" s="1076"/>
      <c r="N24" s="1076"/>
      <c r="O24" s="1076"/>
      <c r="P24" s="1076"/>
      <c r="Q24" s="1076"/>
    </row>
    <row r="25" spans="1:17" s="909" customFormat="1" ht="15">
      <c r="A25" s="908"/>
      <c r="B25" s="942" t="s">
        <v>272</v>
      </c>
      <c r="C25" s="923"/>
      <c r="D25" s="923"/>
      <c r="E25" s="923"/>
      <c r="F25" s="923"/>
      <c r="G25" s="939" t="str">
        <f t="shared" si="0"/>
        <v>No cumple</v>
      </c>
      <c r="I25" s="1076"/>
      <c r="J25" s="1076"/>
      <c r="K25" s="1076"/>
      <c r="L25" s="1076"/>
      <c r="M25" s="1076"/>
      <c r="N25" s="1076"/>
      <c r="O25" s="1076"/>
      <c r="P25" s="1076"/>
      <c r="Q25" s="1076"/>
    </row>
    <row r="26" spans="1:17" s="909" customFormat="1" ht="15">
      <c r="A26" s="908"/>
      <c r="B26" s="942" t="s">
        <v>273</v>
      </c>
      <c r="C26" s="923"/>
      <c r="D26" s="923"/>
      <c r="E26" s="923"/>
      <c r="F26" s="923"/>
      <c r="G26" s="939" t="str">
        <f t="shared" si="0"/>
        <v>No cumple</v>
      </c>
      <c r="I26" s="1076"/>
      <c r="J26" s="1076"/>
      <c r="K26" s="1076"/>
      <c r="L26" s="1076"/>
      <c r="M26" s="1076"/>
      <c r="N26" s="1076"/>
      <c r="O26" s="1076"/>
      <c r="P26" s="1076"/>
      <c r="Q26" s="1076"/>
    </row>
    <row r="27" spans="1:17" s="909" customFormat="1" ht="15.75" thickBot="1">
      <c r="A27" s="908"/>
      <c r="B27" s="943" t="s">
        <v>274</v>
      </c>
      <c r="C27" s="932"/>
      <c r="D27" s="932"/>
      <c r="E27" s="932"/>
      <c r="F27" s="932"/>
      <c r="G27" s="940" t="str">
        <f t="shared" si="0"/>
        <v>No cumple</v>
      </c>
      <c r="I27" s="1076"/>
      <c r="J27" s="1076"/>
      <c r="K27" s="1076"/>
      <c r="L27" s="1076"/>
      <c r="M27" s="1076"/>
      <c r="N27" s="1076"/>
      <c r="O27" s="1076"/>
      <c r="P27" s="1076"/>
      <c r="Q27" s="1076"/>
    </row>
    <row r="28" spans="1:17" s="909" customFormat="1" ht="15">
      <c r="A28" s="908"/>
      <c r="C28" s="930"/>
      <c r="D28" s="930"/>
      <c r="E28" s="908"/>
      <c r="F28" s="931"/>
      <c r="G28" s="908"/>
    </row>
    <row r="29" spans="1:17" s="909" customFormat="1" ht="15">
      <c r="A29" s="908"/>
      <c r="C29" s="930"/>
      <c r="D29" s="930"/>
      <c r="E29" s="908"/>
      <c r="F29" s="931"/>
      <c r="G29" s="908"/>
    </row>
    <row r="30" spans="1:17" s="106" customFormat="1" ht="15.75" thickBot="1">
      <c r="A30" s="105"/>
      <c r="B30" s="922" t="s">
        <v>275</v>
      </c>
      <c r="C30" s="933"/>
      <c r="D30" s="933"/>
      <c r="E30" s="933"/>
      <c r="F30" s="934"/>
      <c r="G30" s="934"/>
    </row>
    <row r="31" spans="1:17" ht="42.75" customHeight="1" thickBot="1">
      <c r="B31" s="740" t="s">
        <v>203</v>
      </c>
      <c r="C31" s="742" t="s">
        <v>276</v>
      </c>
      <c r="D31" s="742" t="s">
        <v>277</v>
      </c>
      <c r="E31" s="742" t="s">
        <v>278</v>
      </c>
      <c r="F31" s="741" t="s">
        <v>279</v>
      </c>
      <c r="G31" s="741" t="s">
        <v>280</v>
      </c>
    </row>
    <row r="32" spans="1:17" ht="14.1" customHeight="1">
      <c r="B32" s="910" t="s">
        <v>254</v>
      </c>
      <c r="C32" s="910"/>
      <c r="D32" s="911"/>
      <c r="E32" s="911"/>
      <c r="F32" s="912">
        <f t="shared" ref="F32:F33" si="1">IFERROR(E32/D32,0)</f>
        <v>0</v>
      </c>
      <c r="G32" s="913" t="str">
        <f>IF(C32=0,"Completar",IF(AND(C32&lt;8,F32&gt;=20%),"SI",IF(AND(C32&gt;=8,C32&lt;=11,F32&gt;=25%),"SI",IF(AND(C32&lt;=14,C32&gt;11,F32&gt;=30%),"SI",IF(AND(C32&gt;14,F32&gt;=35%),"SI","NO")))))</f>
        <v>Completar</v>
      </c>
      <c r="I32" s="1183" t="s">
        <v>281</v>
      </c>
      <c r="J32" s="1184"/>
      <c r="K32" s="1184"/>
      <c r="L32" s="1184"/>
      <c r="M32" s="1184"/>
      <c r="N32" s="1184"/>
      <c r="O32" s="1184"/>
      <c r="P32" s="1184"/>
      <c r="Q32" s="1184"/>
    </row>
    <row r="33" spans="2:17">
      <c r="B33" s="914" t="s">
        <v>256</v>
      </c>
      <c r="C33" s="914"/>
      <c r="D33" s="915"/>
      <c r="E33" s="915"/>
      <c r="F33" s="916">
        <f t="shared" si="1"/>
        <v>0</v>
      </c>
      <c r="G33" s="917" t="str">
        <f t="shared" ref="G33:G50" si="2">IF(C33=0,"Completar",IF(AND(C33&lt;8,F33&gt;=20%),"SI",IF(AND(C33&gt;=8,C33&lt;=11,F33&gt;=25%),"SI",IF(AND(C33&lt;=14,C33&gt;11,F33&gt;=30%),"SI",IF(AND(C33&gt;14,F33&gt;=35%),"SI","NO")))))</f>
        <v>Completar</v>
      </c>
      <c r="I33" s="1184"/>
      <c r="J33" s="1184"/>
      <c r="K33" s="1184"/>
      <c r="L33" s="1184"/>
      <c r="M33" s="1184"/>
      <c r="N33" s="1184"/>
      <c r="O33" s="1184"/>
      <c r="P33" s="1184"/>
      <c r="Q33" s="1184"/>
    </row>
    <row r="34" spans="2:17">
      <c r="B34" s="914" t="s">
        <v>257</v>
      </c>
      <c r="C34" s="914"/>
      <c r="D34" s="915"/>
      <c r="E34" s="915"/>
      <c r="F34" s="916">
        <f>IFERROR(E34/D34,0)</f>
        <v>0</v>
      </c>
      <c r="G34" s="917" t="str">
        <f t="shared" si="2"/>
        <v>Completar</v>
      </c>
      <c r="I34" s="1184"/>
      <c r="J34" s="1184"/>
      <c r="K34" s="1184"/>
      <c r="L34" s="1184"/>
      <c r="M34" s="1184"/>
      <c r="N34" s="1184"/>
      <c r="O34" s="1184"/>
      <c r="P34" s="1184"/>
      <c r="Q34" s="1184"/>
    </row>
    <row r="35" spans="2:17">
      <c r="B35" s="914" t="s">
        <v>258</v>
      </c>
      <c r="C35" s="914"/>
      <c r="D35" s="915"/>
      <c r="E35" s="915"/>
      <c r="F35" s="916">
        <f t="shared" ref="F35:F50" si="3">IFERROR(E35/D35,0)</f>
        <v>0</v>
      </c>
      <c r="G35" s="917" t="str">
        <f t="shared" si="2"/>
        <v>Completar</v>
      </c>
      <c r="I35" s="1184"/>
      <c r="J35" s="1184"/>
      <c r="K35" s="1184"/>
      <c r="L35" s="1184"/>
      <c r="M35" s="1184"/>
      <c r="N35" s="1184"/>
      <c r="O35" s="1184"/>
      <c r="P35" s="1184"/>
      <c r="Q35" s="1184"/>
    </row>
    <row r="36" spans="2:17" ht="16.5" customHeight="1">
      <c r="B36" s="914" t="s">
        <v>259</v>
      </c>
      <c r="C36" s="914"/>
      <c r="D36" s="915"/>
      <c r="E36" s="915"/>
      <c r="F36" s="916">
        <f t="shared" si="3"/>
        <v>0</v>
      </c>
      <c r="G36" s="917" t="str">
        <f t="shared" si="2"/>
        <v>Completar</v>
      </c>
      <c r="I36" s="1184"/>
      <c r="J36" s="1184"/>
      <c r="K36" s="1184"/>
      <c r="L36" s="1184"/>
      <c r="M36" s="1184"/>
      <c r="N36" s="1184"/>
      <c r="O36" s="1184"/>
      <c r="P36" s="1184"/>
      <c r="Q36" s="1184"/>
    </row>
    <row r="37" spans="2:17" ht="13.5" customHeight="1">
      <c r="B37" s="914" t="s">
        <v>260</v>
      </c>
      <c r="C37" s="914"/>
      <c r="D37" s="915"/>
      <c r="E37" s="915"/>
      <c r="F37" s="916">
        <f t="shared" si="3"/>
        <v>0</v>
      </c>
      <c r="G37" s="917" t="str">
        <f t="shared" si="2"/>
        <v>Completar</v>
      </c>
      <c r="I37" s="1184"/>
      <c r="J37" s="1184"/>
      <c r="K37" s="1184"/>
      <c r="L37" s="1184"/>
      <c r="M37" s="1184"/>
      <c r="N37" s="1184"/>
      <c r="O37" s="1184"/>
      <c r="P37" s="1184"/>
      <c r="Q37" s="1184"/>
    </row>
    <row r="38" spans="2:17">
      <c r="B38" s="914" t="s">
        <v>261</v>
      </c>
      <c r="C38" s="914"/>
      <c r="D38" s="915"/>
      <c r="E38" s="915"/>
      <c r="F38" s="916">
        <f t="shared" si="3"/>
        <v>0</v>
      </c>
      <c r="G38" s="917" t="str">
        <f t="shared" si="2"/>
        <v>Completar</v>
      </c>
      <c r="I38" s="1184"/>
      <c r="J38" s="1184"/>
      <c r="K38" s="1184"/>
      <c r="L38" s="1184"/>
      <c r="M38" s="1184"/>
      <c r="N38" s="1184"/>
      <c r="O38" s="1184"/>
      <c r="P38" s="1184"/>
      <c r="Q38" s="1184"/>
    </row>
    <row r="39" spans="2:17">
      <c r="B39" s="914" t="s">
        <v>262</v>
      </c>
      <c r="C39" s="914"/>
      <c r="D39" s="915"/>
      <c r="E39" s="915"/>
      <c r="F39" s="916">
        <f t="shared" si="3"/>
        <v>0</v>
      </c>
      <c r="G39" s="917" t="str">
        <f t="shared" si="2"/>
        <v>Completar</v>
      </c>
      <c r="I39" s="1184"/>
      <c r="J39" s="1184"/>
      <c r="K39" s="1184"/>
      <c r="L39" s="1184"/>
      <c r="M39" s="1184"/>
      <c r="N39" s="1184"/>
      <c r="O39" s="1184"/>
      <c r="P39" s="1184"/>
      <c r="Q39" s="1184"/>
    </row>
    <row r="40" spans="2:17" ht="16.5" customHeight="1">
      <c r="B40" s="914" t="s">
        <v>263</v>
      </c>
      <c r="C40" s="914"/>
      <c r="D40" s="915"/>
      <c r="E40" s="915"/>
      <c r="F40" s="916">
        <f t="shared" si="3"/>
        <v>0</v>
      </c>
      <c r="G40" s="917" t="str">
        <f t="shared" si="2"/>
        <v>Completar</v>
      </c>
    </row>
    <row r="41" spans="2:17">
      <c r="B41" s="914" t="s">
        <v>264</v>
      </c>
      <c r="C41" s="914"/>
      <c r="D41" s="915"/>
      <c r="E41" s="915"/>
      <c r="F41" s="916">
        <f t="shared" si="3"/>
        <v>0</v>
      </c>
      <c r="G41" s="917" t="str">
        <f t="shared" si="2"/>
        <v>Completar</v>
      </c>
    </row>
    <row r="42" spans="2:17">
      <c r="B42" s="914" t="s">
        <v>265</v>
      </c>
      <c r="C42" s="914"/>
      <c r="D42" s="915"/>
      <c r="E42" s="915"/>
      <c r="F42" s="916">
        <f t="shared" si="3"/>
        <v>0</v>
      </c>
      <c r="G42" s="917" t="str">
        <f t="shared" si="2"/>
        <v>Completar</v>
      </c>
    </row>
    <row r="43" spans="2:17">
      <c r="B43" s="914" t="s">
        <v>266</v>
      </c>
      <c r="C43" s="914"/>
      <c r="D43" s="915"/>
      <c r="E43" s="915"/>
      <c r="F43" s="916">
        <f t="shared" si="3"/>
        <v>0</v>
      </c>
      <c r="G43" s="917" t="str">
        <f t="shared" si="2"/>
        <v>Completar</v>
      </c>
    </row>
    <row r="44" spans="2:17">
      <c r="B44" s="914" t="s">
        <v>267</v>
      </c>
      <c r="C44" s="914"/>
      <c r="D44" s="915"/>
      <c r="E44" s="915"/>
      <c r="F44" s="916">
        <f t="shared" si="3"/>
        <v>0</v>
      </c>
      <c r="G44" s="917" t="str">
        <f t="shared" si="2"/>
        <v>Completar</v>
      </c>
    </row>
    <row r="45" spans="2:17">
      <c r="B45" s="914" t="s">
        <v>268</v>
      </c>
      <c r="C45" s="914"/>
      <c r="D45" s="915"/>
      <c r="E45" s="915"/>
      <c r="F45" s="916">
        <f t="shared" si="3"/>
        <v>0</v>
      </c>
      <c r="G45" s="917" t="str">
        <f t="shared" si="2"/>
        <v>Completar</v>
      </c>
    </row>
    <row r="46" spans="2:17">
      <c r="B46" s="914" t="s">
        <v>269</v>
      </c>
      <c r="C46" s="914"/>
      <c r="D46" s="915"/>
      <c r="E46" s="915"/>
      <c r="F46" s="916">
        <f t="shared" si="3"/>
        <v>0</v>
      </c>
      <c r="G46" s="917" t="str">
        <f t="shared" si="2"/>
        <v>Completar</v>
      </c>
    </row>
    <row r="47" spans="2:17">
      <c r="B47" s="914" t="s">
        <v>270</v>
      </c>
      <c r="C47" s="914"/>
      <c r="D47" s="915"/>
      <c r="E47" s="915"/>
      <c r="F47" s="916">
        <f t="shared" si="3"/>
        <v>0</v>
      </c>
      <c r="G47" s="917" t="str">
        <f t="shared" si="2"/>
        <v>Completar</v>
      </c>
    </row>
    <row r="48" spans="2:17">
      <c r="B48" s="914" t="s">
        <v>271</v>
      </c>
      <c r="C48" s="914"/>
      <c r="D48" s="915"/>
      <c r="E48" s="915"/>
      <c r="F48" s="916">
        <f t="shared" si="3"/>
        <v>0</v>
      </c>
      <c r="G48" s="917" t="str">
        <f t="shared" si="2"/>
        <v>Completar</v>
      </c>
    </row>
    <row r="49" spans="2:7">
      <c r="B49" s="914" t="s">
        <v>272</v>
      </c>
      <c r="C49" s="914"/>
      <c r="D49" s="915"/>
      <c r="E49" s="915"/>
      <c r="F49" s="916">
        <f t="shared" si="3"/>
        <v>0</v>
      </c>
      <c r="G49" s="917" t="str">
        <f t="shared" si="2"/>
        <v>Completar</v>
      </c>
    </row>
    <row r="50" spans="2:7" ht="13.5" thickBot="1">
      <c r="B50" s="918" t="s">
        <v>273</v>
      </c>
      <c r="C50" s="918"/>
      <c r="D50" s="919"/>
      <c r="E50" s="919"/>
      <c r="F50" s="920">
        <f t="shared" si="3"/>
        <v>0</v>
      </c>
      <c r="G50" s="921" t="str">
        <f t="shared" si="2"/>
        <v>Completar</v>
      </c>
    </row>
    <row r="53" spans="2:7" ht="15">
      <c r="B53" s="922" t="s">
        <v>282</v>
      </c>
    </row>
    <row r="54" spans="2:7" ht="13.5" thickBot="1"/>
    <row r="55" spans="2:7" ht="29.25" customHeight="1" thickBot="1">
      <c r="B55" s="1169" t="s">
        <v>283</v>
      </c>
      <c r="C55" s="1170"/>
      <c r="D55" s="1171"/>
    </row>
    <row r="57" spans="2:7" ht="101.25" customHeight="1">
      <c r="B57" s="1172" t="s">
        <v>284</v>
      </c>
      <c r="C57" s="1173"/>
      <c r="D57" s="1173"/>
      <c r="E57" s="1173"/>
      <c r="F57" s="1173"/>
      <c r="G57" s="1173"/>
    </row>
    <row r="60" spans="2:7">
      <c r="B60" t="s">
        <v>285</v>
      </c>
    </row>
    <row r="62" spans="2:7" ht="18.75">
      <c r="B62" s="765"/>
    </row>
    <row r="63" spans="2:7" ht="18.75">
      <c r="C63" s="937"/>
    </row>
    <row r="69" spans="5:5" ht="18.75">
      <c r="E69" s="937"/>
    </row>
  </sheetData>
  <sheetProtection algorithmName="SHA-512" hashValue="jADnvvSQJ0PoO4qsigiHvQEngdL3evHLGgGWQiFDwn8pJOdKIqRZ46Cnp/C3P0aZFjfQN/8B2RjjHTAn0IiSOw==" saltValue="/nDyarPndfK8hOwsBZL0eA==" spinCount="100000" sheet="1" objects="1" scenarios="1"/>
  <mergeCells count="9">
    <mergeCell ref="B55:D55"/>
    <mergeCell ref="B57:G57"/>
    <mergeCell ref="I5:Q27"/>
    <mergeCell ref="C6:D6"/>
    <mergeCell ref="E6:F6"/>
    <mergeCell ref="C5:G5"/>
    <mergeCell ref="B6:B7"/>
    <mergeCell ref="G6:G7"/>
    <mergeCell ref="I32:Q39"/>
  </mergeCells>
  <phoneticPr fontId="17" type="noConversion"/>
  <conditionalFormatting sqref="G8:G27">
    <cfRule type="containsText" dxfId="299" priority="1" operator="containsText" text="NO">
      <formula>NOT(ISERROR(SEARCH("NO",G8)))</formula>
    </cfRule>
    <cfRule type="containsText" dxfId="298" priority="2" operator="containsText" text="Cumple">
      <formula>NOT(ISERROR(SEARCH("Cumple",G8)))</formula>
    </cfRule>
  </conditionalFormatting>
  <conditionalFormatting sqref="G32:G50">
    <cfRule type="containsText" dxfId="297" priority="3" operator="containsText" text="NO">
      <formula>NOT(ISERROR(SEARCH("NO",G32)))</formula>
    </cfRule>
    <cfRule type="containsText" dxfId="296" priority="4" operator="containsText" text="SI">
      <formula>NOT(ISERROR(SEARCH("SI",G32)))</formula>
    </cfRule>
  </conditionalFormatting>
  <dataValidations count="1">
    <dataValidation type="list" allowBlank="1" showInputMessage="1" showErrorMessage="1" sqref="F8:F27 D8:D27" xr:uid="{4971DBCB-E969-4D1D-918A-365975B7BD6C}">
      <formula1>"Si,No"</formula1>
    </dataValidation>
  </dataValidations>
  <pageMargins left="0.7" right="0.7" top="0.98624999999999996" bottom="0.75" header="0.3" footer="0.3"/>
  <pageSetup paperSize="9" scale="81" orientation="landscape" r:id="rId1"/>
  <headerFooter>
    <oddHeader>&amp;L&amp;G</oddHeader>
    <oddFooter>&amp;L&amp;D&amp;R&amp;A</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528A4ACE1B3DD34C84169ED058FDB762" ma:contentTypeVersion="18" ma:contentTypeDescription="Ein neues Dokument erstellen." ma:contentTypeScope="" ma:versionID="0cd0d57e9e1536d72f496f4d5598ac4c">
  <xsd:schema xmlns:xsd="http://www.w3.org/2001/XMLSchema" xmlns:xs="http://www.w3.org/2001/XMLSchema" xmlns:p="http://schemas.microsoft.com/office/2006/metadata/properties" xmlns:ns2="765a7e56-e82e-4c5d-8526-7dc323457774" xmlns:ns3="7eba428e-dac3-49e2-b06e-8493c63c4b28" targetNamespace="http://schemas.microsoft.com/office/2006/metadata/properties" ma:root="true" ma:fieldsID="d89247cac42e85a1c1ec2f0e20b0447b" ns2:_="" ns3:_="">
    <xsd:import namespace="765a7e56-e82e-4c5d-8526-7dc323457774"/>
    <xsd:import namespace="7eba428e-dac3-49e2-b06e-8493c63c4b2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5a7e56-e82e-4c5d-8526-7dc3234577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1483a60f-3d25-42ae-b010-69d7fed1370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ba428e-dac3-49e2-b06e-8493c63c4b2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ad8cba2e-9461-47d7-a82e-3efeea30ea18}" ma:internalName="TaxCatchAll" ma:showField="CatchAllData" ma:web="7eba428e-dac3-49e2-b06e-8493c63c4b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0 1 4 B V 1 f v X q S k A A A A 9 g A A A B I A H A B D b 2 5 m a W c v U G F j a 2 F n Z S 5 4 b W w g o h g A K K A U A A A A A A A A A A A A A A A A A A A A A A A A A A A A h Y + 9 D o I w G E V f h X S n P 8 i g 5 K M M r J C Y m B j X p l R o h G J o s b y b g 4 / k K 4 h R 1 M 3 x n n u G e + / X G 2 R T 1 w Y X N V j d m x Q x T F G g j O w r b e o U j e 4 Y r l H G Y S v k S d Q q m G V j k 8 l W K W q c O y e E e O + x X + F + q E l E K S O H s t j J R n U C f W T 9 X w 6 1 s U 4 Y q R C H / W s M j z B j G x z T G F M g C 4 R S m 6 8 Q z X u f 7 Q + E f G z d O C i u b J g X Q J Y I 5 P 2 B P w B Q S w M E F A A C A A g A 0 1 4 B 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N e A V c o i k e 4 D g A A A B E A A A A T A B w A R m 9 y b X V s Y X M v U 2 V j d G l v b j E u b S C i G A A o o B Q A A A A A A A A A A A A A A A A A A A A A A A A A A A A r T k 0 u y c z P U w i G 0 I b W A F B L A Q I t A B Q A A g A I A N N e A V d X 7 1 6 k p A A A A P Y A A A A S A A A A A A A A A A A A A A A A A A A A A A B D b 2 5 m a W c v U G F j a 2 F n Z S 5 4 b W x Q S w E C L Q A U A A I A C A D T X g F X D 8 r p q 6 Q A A A D p A A A A E w A A A A A A A A A A A A A A A A D w A A A A W 0 N v b n R l b n R f V H l w Z X N d L n h t b F B L A Q I t A B Q A A g A I A N N e A V 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R A j m q J I T e T o / 4 y Z z o I a k b A A A A A A I A A A A A A B B m A A A A A Q A A I A A A A G K 3 q k R S 5 K Z 4 E L p E E o 6 f N y 3 O A h v W Y 1 7 9 1 K 3 B w 2 P B m f V B A A A A A A 6 A A A A A A g A A I A A A A N N S 8 A A H 3 v i f 8 V s u B 1 I g 1 Q C 0 5 p D v C u P b + h 8 d W k y v t W V b U A A A A J z x 1 s 6 j t P d 9 b w J d A T L / 3 K 0 z M P u x y 5 2 m v o l D 5 I N f 2 h f 4 v 3 4 u j V s X 0 C c y 3 8 V s x U i Z r w o D w c b w S 0 G Q s K B 7 w 3 g N R J X D u G s D 7 R V v n K e + b d K t z J I 4 Q A A A A I E 4 2 J K b Y l n W g p f w U i H S 5 B X 3 x 9 Y i k J S G Q P F H Q Q b x 9 Y R q v 1 O i 1 1 U u k H h 5 h Y L 7 t W F D a L x w j h g 9 V w c + q I D Z l g i K M l 8 = < / 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7eba428e-dac3-49e2-b06e-8493c63c4b28">
      <UserInfo>
        <DisplayName>Le Pape, Laure</DisplayName>
        <AccountId>25</AccountId>
        <AccountType/>
      </UserInfo>
      <UserInfo>
        <DisplayName>Jodar, Jose</DisplayName>
        <AccountId>55</AccountId>
        <AccountType/>
      </UserInfo>
      <UserInfo>
        <DisplayName>Gomez. Francisca</DisplayName>
        <AccountId>181</AccountId>
        <AccountType/>
      </UserInfo>
      <UserInfo>
        <DisplayName>Huincahue, Fabiana</DisplayName>
        <AccountId>291</AccountId>
        <AccountType/>
      </UserInfo>
      <UserInfo>
        <DisplayName>Arce, Pedro</DisplayName>
        <AccountId>265</AccountId>
        <AccountType/>
      </UserInfo>
      <UserInfo>
        <DisplayName>Morales, Franco</DisplayName>
        <AccountId>18</AccountId>
        <AccountType/>
      </UserInfo>
      <UserInfo>
        <DisplayName>Duarte, Julio</DisplayName>
        <AccountId>242</AccountId>
        <AccountType/>
      </UserInfo>
      <UserInfo>
        <DisplayName>Bobadilla, Monserrat</DisplayName>
        <AccountId>134</AccountId>
        <AccountType/>
      </UserInfo>
    </SharedWithUsers>
    <lcf76f155ced4ddcb4097134ff3c332f xmlns="765a7e56-e82e-4c5d-8526-7dc323457774">
      <Terms xmlns="http://schemas.microsoft.com/office/infopath/2007/PartnerControls"/>
    </lcf76f155ced4ddcb4097134ff3c332f>
    <TaxCatchAll xmlns="7eba428e-dac3-49e2-b06e-8493c63c4b28" xsi:nil="true"/>
  </documentManagement>
</p:properties>
</file>

<file path=customXml/itemProps1.xml><?xml version="1.0" encoding="utf-8"?>
<ds:datastoreItem xmlns:ds="http://schemas.openxmlformats.org/officeDocument/2006/customXml" ds:itemID="{0FFC35BE-C78B-4710-BA5F-89DBBC043AFD}"/>
</file>

<file path=customXml/itemProps2.xml><?xml version="1.0" encoding="utf-8"?>
<ds:datastoreItem xmlns:ds="http://schemas.openxmlformats.org/officeDocument/2006/customXml" ds:itemID="{01B40E4C-0745-47CD-9C60-5238E4DE1286}"/>
</file>

<file path=customXml/itemProps3.xml><?xml version="1.0" encoding="utf-8"?>
<ds:datastoreItem xmlns:ds="http://schemas.openxmlformats.org/officeDocument/2006/customXml" ds:itemID="{34ABBE9F-3B67-4CD0-9DA8-01B2BE39DF96}"/>
</file>

<file path=customXml/itemProps4.xml><?xml version="1.0" encoding="utf-8"?>
<ds:datastoreItem xmlns:ds="http://schemas.openxmlformats.org/officeDocument/2006/customXml" ds:itemID="{B3CF71B3-EF78-4D82-9105-B7FCA88086AB}"/>
</file>

<file path=docMetadata/LabelInfo.xml><?xml version="1.0" encoding="utf-8"?>
<clbl:labelList xmlns:clbl="http://schemas.microsoft.com/office/2020/mipLabelMetadata">
  <clbl:label id="{b2e3a768-93a5-4171-8310-d2fda9465328}" enabled="0" method="" siteId="{b2e3a768-93a5-4171-8310-d2fda9465328}"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Bobadilla, Monserrat</dc:creator>
  <cp:keywords/>
  <dc:description/>
  <cp:lastModifiedBy/>
  <cp:revision/>
  <dcterms:created xsi:type="dcterms:W3CDTF">2022-02-01T20:06:33Z</dcterms:created>
  <dcterms:modified xsi:type="dcterms:W3CDTF">2025-02-10T19:37:26Z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0x010100528A4ACE1B3DD34C84169ED058FDB762</vt:lpwstr>
  </property>
  <property fmtid="{D5CDD505-2E9C-101B-9397-08002B2CF9AE}" pid="3" name="MediaServiceImageTags">
    <vt:lpwstr/>
  </property>
</Properties>
</file>